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15480" windowHeight="8670" tabRatio="820" firstSheet="1" activeTab="5"/>
  </bookViews>
  <sheets>
    <sheet name="definicja" sheetId="8" state="hidden" r:id="rId1"/>
    <sheet name="Zał.1 WPF" sheetId="9" r:id="rId2"/>
    <sheet name="Zał.2 Przeds." sheetId="10" r:id="rId3"/>
    <sheet name="Zał.3Przeds.zb." sheetId="11" r:id="rId4"/>
    <sheet name="Zał.4Zb.przeds" sheetId="12" r:id="rId5"/>
    <sheet name="Zał.4Zb.progr" sheetId="13" r:id="rId6"/>
  </sheets>
  <externalReferences>
    <externalReference r:id="rId7"/>
  </externalReferences>
  <calcPr calcId="124519"/>
  <fileRecoveryPr autoRecover="0"/>
</workbook>
</file>

<file path=xl/calcChain.xml><?xml version="1.0" encoding="utf-8"?>
<calcChain xmlns="http://schemas.openxmlformats.org/spreadsheetml/2006/main">
  <c r="F25" i="9"/>
  <c r="AS54"/>
  <c r="AR54"/>
  <c r="AQ54"/>
  <c r="AP54"/>
  <c r="AO54"/>
  <c r="AN54"/>
  <c r="AM54"/>
  <c r="AJ54"/>
  <c r="AI54"/>
  <c r="AH54"/>
  <c r="AG54"/>
  <c r="AF54"/>
  <c r="AE54"/>
  <c r="AD54"/>
  <c r="AA54"/>
  <c r="Z54"/>
  <c r="Y54"/>
  <c r="X54"/>
  <c r="W54"/>
  <c r="V54"/>
  <c r="U54"/>
  <c r="R54"/>
  <c r="Q54"/>
  <c r="P54"/>
  <c r="O54"/>
  <c r="N54"/>
  <c r="M54"/>
  <c r="L54"/>
  <c r="AJ52"/>
  <c r="AI52"/>
  <c r="AH52"/>
  <c r="AG52"/>
  <c r="AF52"/>
  <c r="AE52"/>
  <c r="AD52"/>
  <c r="AA52"/>
  <c r="Z52"/>
  <c r="Y52"/>
  <c r="X52"/>
  <c r="W52"/>
  <c r="V52"/>
  <c r="U52"/>
  <c r="R52"/>
  <c r="Q52"/>
  <c r="P52"/>
  <c r="O52"/>
  <c r="N52"/>
  <c r="M52"/>
  <c r="L52"/>
  <c r="I54"/>
  <c r="I52"/>
  <c r="AX50"/>
  <c r="AX49"/>
  <c r="AX48"/>
  <c r="AX47"/>
  <c r="AX46"/>
  <c r="AX45"/>
  <c r="AW50"/>
  <c r="AW49"/>
  <c r="AW48"/>
  <c r="AW47"/>
  <c r="AW46"/>
  <c r="AW45"/>
  <c r="AV50"/>
  <c r="AV49"/>
  <c r="AV48"/>
  <c r="AV47"/>
  <c r="AV46"/>
  <c r="AV45"/>
  <c r="AS50"/>
  <c r="AS49"/>
  <c r="AS48"/>
  <c r="AS47"/>
  <c r="AS46"/>
  <c r="AS45"/>
  <c r="AR50"/>
  <c r="AR49"/>
  <c r="AR48"/>
  <c r="AR47"/>
  <c r="AR46"/>
  <c r="AR45"/>
  <c r="AQ50"/>
  <c r="AQ49"/>
  <c r="AQ48"/>
  <c r="AQ47"/>
  <c r="AQ46"/>
  <c r="AQ45"/>
  <c r="AP50"/>
  <c r="AP49"/>
  <c r="AP48"/>
  <c r="AP47"/>
  <c r="AP46"/>
  <c r="AP45"/>
  <c r="AO50"/>
  <c r="AO49"/>
  <c r="AO48"/>
  <c r="AO47"/>
  <c r="AO46"/>
  <c r="AO45"/>
  <c r="AN50"/>
  <c r="AN49"/>
  <c r="AN48"/>
  <c r="AN47"/>
  <c r="AN46"/>
  <c r="AN45"/>
  <c r="AM50"/>
  <c r="AM49"/>
  <c r="AM48"/>
  <c r="AM47"/>
  <c r="AM46"/>
  <c r="AM45"/>
  <c r="AJ50"/>
  <c r="AJ49"/>
  <c r="AJ48"/>
  <c r="AJ47"/>
  <c r="AJ46"/>
  <c r="AJ45"/>
  <c r="AI50"/>
  <c r="AI49"/>
  <c r="AI48"/>
  <c r="AI47"/>
  <c r="AI46"/>
  <c r="AI45"/>
  <c r="AH50"/>
  <c r="AH49"/>
  <c r="AH48"/>
  <c r="AH47"/>
  <c r="AH46"/>
  <c r="AH45"/>
  <c r="AG50"/>
  <c r="AG49"/>
  <c r="AG48"/>
  <c r="AG47"/>
  <c r="AG46"/>
  <c r="AG45"/>
  <c r="AF50"/>
  <c r="AF49"/>
  <c r="AF48"/>
  <c r="AF47"/>
  <c r="AF46"/>
  <c r="AF45"/>
  <c r="AE50"/>
  <c r="AE49"/>
  <c r="AE48"/>
  <c r="AE47"/>
  <c r="AE46"/>
  <c r="AE45"/>
  <c r="AD50"/>
  <c r="AD49"/>
  <c r="AD48"/>
  <c r="AD47"/>
  <c r="AD46"/>
  <c r="AD45"/>
  <c r="AA50"/>
  <c r="AA49"/>
  <c r="AA48"/>
  <c r="AA47"/>
  <c r="AA46"/>
  <c r="AA45"/>
  <c r="Z50"/>
  <c r="Z49"/>
  <c r="Z48"/>
  <c r="Z47"/>
  <c r="Z46"/>
  <c r="Z45"/>
  <c r="Y50"/>
  <c r="Y49"/>
  <c r="Y48"/>
  <c r="Y47"/>
  <c r="Y46"/>
  <c r="Y45"/>
  <c r="X50"/>
  <c r="X49"/>
  <c r="X48"/>
  <c r="X47"/>
  <c r="X46"/>
  <c r="X45"/>
  <c r="W50"/>
  <c r="W49"/>
  <c r="W48"/>
  <c r="W47"/>
  <c r="W46"/>
  <c r="W45"/>
  <c r="V50"/>
  <c r="V49"/>
  <c r="V48"/>
  <c r="V47"/>
  <c r="V46"/>
  <c r="V45"/>
  <c r="U50"/>
  <c r="U49"/>
  <c r="U48"/>
  <c r="U47"/>
  <c r="U46"/>
  <c r="U45"/>
  <c r="R50"/>
  <c r="R49"/>
  <c r="R48"/>
  <c r="R47"/>
  <c r="R46"/>
  <c r="R45"/>
  <c r="Q50"/>
  <c r="Q49"/>
  <c r="Q48"/>
  <c r="Q47"/>
  <c r="Q46"/>
  <c r="Q45"/>
  <c r="P50"/>
  <c r="P49"/>
  <c r="P48"/>
  <c r="P47"/>
  <c r="P46"/>
  <c r="P45"/>
  <c r="O50"/>
  <c r="O49"/>
  <c r="O48"/>
  <c r="O47"/>
  <c r="O46"/>
  <c r="O45"/>
  <c r="N50"/>
  <c r="N49"/>
  <c r="N48"/>
  <c r="N47"/>
  <c r="N46"/>
  <c r="N45"/>
  <c r="M50"/>
  <c r="M49"/>
  <c r="M48"/>
  <c r="M47"/>
  <c r="M46"/>
  <c r="M45"/>
  <c r="L50"/>
  <c r="L49"/>
  <c r="L48"/>
  <c r="L47"/>
  <c r="L46"/>
  <c r="L45"/>
  <c r="I50"/>
  <c r="I49"/>
  <c r="I48"/>
  <c r="I47"/>
  <c r="I46"/>
  <c r="I45"/>
  <c r="H54"/>
  <c r="H52"/>
  <c r="H50"/>
  <c r="H49"/>
  <c r="H48"/>
  <c r="H47"/>
  <c r="H46"/>
  <c r="H45"/>
  <c r="F54"/>
  <c r="F52"/>
  <c r="F49"/>
  <c r="F48"/>
  <c r="F47"/>
  <c r="F45"/>
  <c r="F46"/>
  <c r="F52" i="11" l="1"/>
  <c r="F51"/>
  <c r="G50" l="1"/>
  <c r="E52"/>
  <c r="E51"/>
  <c r="BD49" i="10"/>
  <c r="BC49"/>
  <c r="BB49"/>
  <c r="BA49"/>
  <c r="AZ49"/>
  <c r="AY49"/>
  <c r="AX49"/>
  <c r="AW49"/>
  <c r="AR49"/>
  <c r="AQ49"/>
  <c r="AP49"/>
  <c r="AO49"/>
  <c r="AN49"/>
  <c r="AM49"/>
  <c r="AL49"/>
  <c r="AG49"/>
  <c r="AF49"/>
  <c r="AE49"/>
  <c r="AD49"/>
  <c r="AC49"/>
  <c r="AB49"/>
  <c r="AA49"/>
  <c r="V49"/>
  <c r="U49"/>
  <c r="T49"/>
  <c r="S49"/>
  <c r="R49"/>
  <c r="Q49"/>
  <c r="P49"/>
  <c r="K49"/>
  <c r="J49"/>
  <c r="I49"/>
  <c r="H49"/>
  <c r="G49"/>
  <c r="F49"/>
  <c r="E49"/>
  <c r="E50" i="11" l="1"/>
  <c r="F50"/>
  <c r="G51" i="9"/>
  <c r="G21" i="11"/>
  <c r="G20"/>
  <c r="G19"/>
  <c r="F20"/>
  <c r="F19"/>
  <c r="E21"/>
  <c r="E20"/>
  <c r="E19"/>
  <c r="H40" i="13"/>
  <c r="E40"/>
  <c r="B40"/>
  <c r="H39"/>
  <c r="E39"/>
  <c r="B39"/>
  <c r="H38"/>
  <c r="E38"/>
  <c r="B38"/>
  <c r="H37"/>
  <c r="E37"/>
  <c r="B37"/>
  <c r="H36"/>
  <c r="E36"/>
  <c r="B36"/>
  <c r="H35"/>
  <c r="E35"/>
  <c r="B35"/>
  <c r="H34"/>
  <c r="E34"/>
  <c r="B34"/>
  <c r="H33"/>
  <c r="E33"/>
  <c r="B33"/>
  <c r="H32"/>
  <c r="E32"/>
  <c r="B32"/>
  <c r="H31"/>
  <c r="E31"/>
  <c r="B31"/>
  <c r="H30"/>
  <c r="E30"/>
  <c r="B30"/>
  <c r="H29"/>
  <c r="E29"/>
  <c r="B29"/>
  <c r="H28"/>
  <c r="E28"/>
  <c r="B28"/>
  <c r="H27"/>
  <c r="E27"/>
  <c r="B27"/>
  <c r="H26"/>
  <c r="E26"/>
  <c r="B26"/>
  <c r="H25"/>
  <c r="E25"/>
  <c r="B25"/>
  <c r="H24"/>
  <c r="E24"/>
  <c r="B24"/>
  <c r="H23"/>
  <c r="E23"/>
  <c r="B23"/>
  <c r="H22"/>
  <c r="E22"/>
  <c r="B22"/>
  <c r="H21"/>
  <c r="E21"/>
  <c r="B21"/>
  <c r="H20"/>
  <c r="E20"/>
  <c r="B20"/>
  <c r="H19"/>
  <c r="E19"/>
  <c r="B19"/>
  <c r="H18"/>
  <c r="E18"/>
  <c r="B18"/>
  <c r="H17"/>
  <c r="E17"/>
  <c r="B17"/>
  <c r="H16"/>
  <c r="E16"/>
  <c r="B16"/>
  <c r="H15"/>
  <c r="E15"/>
  <c r="B15"/>
  <c r="H14"/>
  <c r="E14"/>
  <c r="B14"/>
  <c r="H13"/>
  <c r="E13"/>
  <c r="B13"/>
  <c r="H12"/>
  <c r="E12"/>
  <c r="B12"/>
  <c r="H11"/>
  <c r="E11"/>
  <c r="B11"/>
  <c r="H10"/>
  <c r="E10"/>
  <c r="B10"/>
  <c r="H9"/>
  <c r="E9"/>
  <c r="H8"/>
  <c r="E8"/>
  <c r="H7"/>
  <c r="E7"/>
  <c r="H6"/>
  <c r="E6"/>
  <c r="H5"/>
  <c r="E5"/>
  <c r="K42" i="12"/>
  <c r="H42"/>
  <c r="E42"/>
  <c r="D42"/>
  <c r="C42"/>
  <c r="B42" s="1"/>
  <c r="K41"/>
  <c r="H41"/>
  <c r="E41"/>
  <c r="D41"/>
  <c r="C41"/>
  <c r="B41" s="1"/>
  <c r="K40"/>
  <c r="H40"/>
  <c r="E40"/>
  <c r="D40"/>
  <c r="C40"/>
  <c r="B40" s="1"/>
  <c r="K39"/>
  <c r="H39"/>
  <c r="E39"/>
  <c r="D39"/>
  <c r="C39"/>
  <c r="B39" s="1"/>
  <c r="K38"/>
  <c r="H38"/>
  <c r="E38"/>
  <c r="D38"/>
  <c r="C38"/>
  <c r="B38" s="1"/>
  <c r="K37"/>
  <c r="H37"/>
  <c r="E37"/>
  <c r="D37"/>
  <c r="C37"/>
  <c r="B37" s="1"/>
  <c r="K36"/>
  <c r="H36"/>
  <c r="E36"/>
  <c r="D36"/>
  <c r="C36"/>
  <c r="B36" s="1"/>
  <c r="K35"/>
  <c r="H35"/>
  <c r="E35"/>
  <c r="D35"/>
  <c r="C35"/>
  <c r="B35" s="1"/>
  <c r="K34"/>
  <c r="H34"/>
  <c r="E34"/>
  <c r="D34"/>
  <c r="C34"/>
  <c r="B34" s="1"/>
  <c r="K33"/>
  <c r="H33"/>
  <c r="E33"/>
  <c r="D33"/>
  <c r="C33"/>
  <c r="B33" s="1"/>
  <c r="K32"/>
  <c r="H32"/>
  <c r="E32"/>
  <c r="D32"/>
  <c r="C32"/>
  <c r="B32" s="1"/>
  <c r="K31"/>
  <c r="H31"/>
  <c r="E31"/>
  <c r="D31"/>
  <c r="C31"/>
  <c r="B31" s="1"/>
  <c r="K30"/>
  <c r="H30"/>
  <c r="E30"/>
  <c r="D30"/>
  <c r="C30"/>
  <c r="B30" s="1"/>
  <c r="K29"/>
  <c r="H29"/>
  <c r="E29"/>
  <c r="D29"/>
  <c r="C29"/>
  <c r="B29" s="1"/>
  <c r="K28"/>
  <c r="H28"/>
  <c r="E28"/>
  <c r="D28"/>
  <c r="C28"/>
  <c r="B28" s="1"/>
  <c r="K27"/>
  <c r="H27"/>
  <c r="E27"/>
  <c r="D27"/>
  <c r="C27"/>
  <c r="B27" s="1"/>
  <c r="K26"/>
  <c r="H26"/>
  <c r="E26"/>
  <c r="D26"/>
  <c r="C26"/>
  <c r="B26" s="1"/>
  <c r="K25"/>
  <c r="H25"/>
  <c r="E25"/>
  <c r="D25"/>
  <c r="C25"/>
  <c r="B25" s="1"/>
  <c r="K24"/>
  <c r="E24"/>
  <c r="C24"/>
  <c r="K23"/>
  <c r="E23"/>
  <c r="C23"/>
  <c r="K22"/>
  <c r="E22"/>
  <c r="C22"/>
  <c r="K21"/>
  <c r="E21"/>
  <c r="C21"/>
  <c r="K20"/>
  <c r="E20"/>
  <c r="C20"/>
  <c r="K19"/>
  <c r="E19"/>
  <c r="C19"/>
  <c r="K18"/>
  <c r="E18"/>
  <c r="C18"/>
  <c r="K17"/>
  <c r="E17"/>
  <c r="C17"/>
  <c r="K16"/>
  <c r="E16"/>
  <c r="C16"/>
  <c r="K15"/>
  <c r="E15"/>
  <c r="C15"/>
  <c r="K14"/>
  <c r="E14"/>
  <c r="C14"/>
  <c r="K13"/>
  <c r="E13"/>
  <c r="C13"/>
  <c r="K12"/>
  <c r="I12"/>
  <c r="E12"/>
  <c r="K11"/>
  <c r="K10"/>
  <c r="K9"/>
  <c r="K8"/>
  <c r="K7"/>
  <c r="G18" i="11"/>
  <c r="F21"/>
  <c r="BD17" i="10"/>
  <c r="BC17"/>
  <c r="BB17"/>
  <c r="BA17"/>
  <c r="AZ17"/>
  <c r="AY17"/>
  <c r="AX17"/>
  <c r="AW17"/>
  <c r="AR17"/>
  <c r="AQ17"/>
  <c r="AP17"/>
  <c r="AO17"/>
  <c r="AN17"/>
  <c r="AM17"/>
  <c r="AL17"/>
  <c r="AG17"/>
  <c r="AF17"/>
  <c r="AE17"/>
  <c r="AD17"/>
  <c r="AC17"/>
  <c r="AB17"/>
  <c r="AA17"/>
  <c r="V17"/>
  <c r="U17"/>
  <c r="T17"/>
  <c r="S17"/>
  <c r="R17"/>
  <c r="Q17"/>
  <c r="P17"/>
  <c r="K17"/>
  <c r="J17"/>
  <c r="I17"/>
  <c r="H17"/>
  <c r="C9" i="13" s="1"/>
  <c r="B9" s="1"/>
  <c r="G17" i="10"/>
  <c r="C8" i="13" s="1"/>
  <c r="F17" i="10"/>
  <c r="C7" i="13" s="1"/>
  <c r="E17" i="10"/>
  <c r="C12" i="12" l="1"/>
  <c r="G9" i="9" l="1"/>
  <c r="H9"/>
  <c r="H7"/>
  <c r="G49" i="11" l="1"/>
  <c r="E49"/>
  <c r="F48"/>
  <c r="F47"/>
  <c r="E47"/>
  <c r="F46"/>
  <c r="E46"/>
  <c r="F45"/>
  <c r="F41" s="1"/>
  <c r="F27" s="1"/>
  <c r="F44"/>
  <c r="E44"/>
  <c r="F43"/>
  <c r="F42"/>
  <c r="F40" s="1"/>
  <c r="E42"/>
  <c r="G41"/>
  <c r="G40"/>
  <c r="F39"/>
  <c r="E39"/>
  <c r="F38"/>
  <c r="E38"/>
  <c r="F37"/>
  <c r="E37"/>
  <c r="F36"/>
  <c r="E36"/>
  <c r="F35"/>
  <c r="E35"/>
  <c r="F31"/>
  <c r="E31"/>
  <c r="F30"/>
  <c r="E30"/>
  <c r="F29"/>
  <c r="F28" s="1"/>
  <c r="E29"/>
  <c r="G28"/>
  <c r="I8" i="12" s="1"/>
  <c r="E28" i="11"/>
  <c r="G27"/>
  <c r="F25"/>
  <c r="F24"/>
  <c r="F22" s="1"/>
  <c r="F14" s="1"/>
  <c r="E24"/>
  <c r="E22" s="1"/>
  <c r="G23"/>
  <c r="F23"/>
  <c r="F15" s="1"/>
  <c r="G22"/>
  <c r="D6" i="13" s="1"/>
  <c r="G17" i="11"/>
  <c r="G15" s="1"/>
  <c r="G14"/>
  <c r="G13"/>
  <c r="G9"/>
  <c r="BD48" i="10"/>
  <c r="BC48"/>
  <c r="BB48"/>
  <c r="BA48"/>
  <c r="AZ48"/>
  <c r="AY48"/>
  <c r="AX48"/>
  <c r="AW48"/>
  <c r="AR48"/>
  <c r="AQ48"/>
  <c r="AP48"/>
  <c r="AO48"/>
  <c r="AN48"/>
  <c r="AM48"/>
  <c r="AL48"/>
  <c r="AG48"/>
  <c r="AF48"/>
  <c r="AE48"/>
  <c r="AD48"/>
  <c r="AC48"/>
  <c r="AB48"/>
  <c r="AA48"/>
  <c r="V48"/>
  <c r="U48"/>
  <c r="T48"/>
  <c r="S48"/>
  <c r="R48"/>
  <c r="Q48"/>
  <c r="P48"/>
  <c r="K48"/>
  <c r="J48"/>
  <c r="I48"/>
  <c r="H48"/>
  <c r="G48"/>
  <c r="F48"/>
  <c r="E48"/>
  <c r="BD40"/>
  <c r="F40"/>
  <c r="BD39"/>
  <c r="BC39"/>
  <c r="BB39"/>
  <c r="BA39"/>
  <c r="AZ39"/>
  <c r="AY39"/>
  <c r="AX39"/>
  <c r="AW39"/>
  <c r="AR39"/>
  <c r="AQ39"/>
  <c r="AP39"/>
  <c r="AO39"/>
  <c r="AN39"/>
  <c r="AM39"/>
  <c r="AL39"/>
  <c r="AG39"/>
  <c r="AF39"/>
  <c r="AE39"/>
  <c r="AD39"/>
  <c r="AC39"/>
  <c r="J24" i="12" s="1"/>
  <c r="AB39" i="10"/>
  <c r="J23" i="12" s="1"/>
  <c r="AA39" i="10"/>
  <c r="J22" i="12" s="1"/>
  <c r="V39" i="10"/>
  <c r="J21" i="12" s="1"/>
  <c r="U39" i="10"/>
  <c r="J20" i="12" s="1"/>
  <c r="T39" i="10"/>
  <c r="J19" i="12" s="1"/>
  <c r="S39" i="10"/>
  <c r="J18" i="12" s="1"/>
  <c r="R39" i="10"/>
  <c r="J17" i="12" s="1"/>
  <c r="Q39" i="10"/>
  <c r="J16" i="12" s="1"/>
  <c r="P39" i="10"/>
  <c r="J15" i="12" s="1"/>
  <c r="K39" i="10"/>
  <c r="J14" i="12" s="1"/>
  <c r="J39" i="10"/>
  <c r="J13" i="12" s="1"/>
  <c r="I39" i="10"/>
  <c r="J12" i="12" s="1"/>
  <c r="H39" i="10"/>
  <c r="J11" i="12" s="1"/>
  <c r="D11" s="1"/>
  <c r="G39" i="10"/>
  <c r="J10" i="12" s="1"/>
  <c r="F39" i="10"/>
  <c r="J9" i="12" s="1"/>
  <c r="E39" i="10"/>
  <c r="BD27"/>
  <c r="BC27"/>
  <c r="BB27"/>
  <c r="BA27"/>
  <c r="AZ27"/>
  <c r="AY27"/>
  <c r="AX27"/>
  <c r="AW27"/>
  <c r="AR27"/>
  <c r="AQ27"/>
  <c r="AP27"/>
  <c r="AO27"/>
  <c r="AN27"/>
  <c r="AM27"/>
  <c r="AL27"/>
  <c r="AG27"/>
  <c r="AF27"/>
  <c r="AE27"/>
  <c r="AD27"/>
  <c r="AC27"/>
  <c r="AB27"/>
  <c r="AA27"/>
  <c r="V27"/>
  <c r="U27"/>
  <c r="T27"/>
  <c r="S27"/>
  <c r="R27"/>
  <c r="Q27"/>
  <c r="P27"/>
  <c r="K27"/>
  <c r="J27"/>
  <c r="I27"/>
  <c r="H27"/>
  <c r="I11" i="12" s="1"/>
  <c r="H11" s="1"/>
  <c r="G27" i="10"/>
  <c r="I10" i="12" s="1"/>
  <c r="H10" s="1"/>
  <c r="F27" i="10"/>
  <c r="I9" i="12" s="1"/>
  <c r="H9" s="1"/>
  <c r="E27" i="10"/>
  <c r="BD26"/>
  <c r="F26"/>
  <c r="BD25"/>
  <c r="BC25"/>
  <c r="BB25"/>
  <c r="BA25"/>
  <c r="AZ25"/>
  <c r="AY25"/>
  <c r="AX25"/>
  <c r="AW25"/>
  <c r="AR25"/>
  <c r="AQ25"/>
  <c r="AP25"/>
  <c r="AO25"/>
  <c r="AN25"/>
  <c r="AM25"/>
  <c r="AL25"/>
  <c r="AG25"/>
  <c r="AF25"/>
  <c r="AE25"/>
  <c r="AD25"/>
  <c r="AC25"/>
  <c r="AB25"/>
  <c r="AA25"/>
  <c r="V25"/>
  <c r="U25"/>
  <c r="T25"/>
  <c r="S25"/>
  <c r="R25"/>
  <c r="Q25"/>
  <c r="P25"/>
  <c r="K25"/>
  <c r="J25"/>
  <c r="I25"/>
  <c r="H25"/>
  <c r="G25"/>
  <c r="F25"/>
  <c r="E25"/>
  <c r="BD22"/>
  <c r="G22"/>
  <c r="F22"/>
  <c r="BD21"/>
  <c r="BC21"/>
  <c r="BB21"/>
  <c r="BA21"/>
  <c r="AZ21"/>
  <c r="AY21"/>
  <c r="AX21"/>
  <c r="AW21"/>
  <c r="AR21"/>
  <c r="AQ21"/>
  <c r="AP21"/>
  <c r="AO21"/>
  <c r="AN21"/>
  <c r="AM21"/>
  <c r="AL21"/>
  <c r="AG21"/>
  <c r="AF21"/>
  <c r="AE21"/>
  <c r="AD21"/>
  <c r="AC21"/>
  <c r="AB21"/>
  <c r="AA21"/>
  <c r="V21"/>
  <c r="U21"/>
  <c r="T21"/>
  <c r="S21"/>
  <c r="R21"/>
  <c r="Q21"/>
  <c r="P21"/>
  <c r="K21"/>
  <c r="J21"/>
  <c r="I21"/>
  <c r="H21"/>
  <c r="G21"/>
  <c r="F21"/>
  <c r="E21"/>
  <c r="BD16"/>
  <c r="G16"/>
  <c r="F16"/>
  <c r="BD15"/>
  <c r="BC15"/>
  <c r="BB15"/>
  <c r="BA15"/>
  <c r="AZ15"/>
  <c r="AY15"/>
  <c r="AX15"/>
  <c r="AW15"/>
  <c r="AR15"/>
  <c r="AQ15"/>
  <c r="AP15"/>
  <c r="AO15"/>
  <c r="AN15"/>
  <c r="AM15"/>
  <c r="AL15"/>
  <c r="AG15"/>
  <c r="AF15"/>
  <c r="AE15"/>
  <c r="AD15"/>
  <c r="AC15"/>
  <c r="AB15"/>
  <c r="AA15"/>
  <c r="V15"/>
  <c r="U15"/>
  <c r="T15"/>
  <c r="S15"/>
  <c r="R15"/>
  <c r="Q15"/>
  <c r="P15"/>
  <c r="K15"/>
  <c r="J15"/>
  <c r="I15"/>
  <c r="H15"/>
  <c r="G15"/>
  <c r="F15"/>
  <c r="E15"/>
  <c r="BD14"/>
  <c r="G14"/>
  <c r="F14"/>
  <c r="BD13"/>
  <c r="BC13"/>
  <c r="BB13"/>
  <c r="BA13"/>
  <c r="AZ13"/>
  <c r="AY13"/>
  <c r="AX13"/>
  <c r="AW13"/>
  <c r="AR13"/>
  <c r="AQ13"/>
  <c r="AP13"/>
  <c r="AO13"/>
  <c r="AN13"/>
  <c r="AM13"/>
  <c r="AL13"/>
  <c r="AG13"/>
  <c r="AF13"/>
  <c r="AE13"/>
  <c r="AD13"/>
  <c r="AC13"/>
  <c r="AB13"/>
  <c r="AA13"/>
  <c r="V13"/>
  <c r="U13"/>
  <c r="T13"/>
  <c r="S13"/>
  <c r="R13"/>
  <c r="Q13"/>
  <c r="P13"/>
  <c r="K13"/>
  <c r="J13"/>
  <c r="I13"/>
  <c r="H13"/>
  <c r="G13"/>
  <c r="F13"/>
  <c r="E13"/>
  <c r="BD12"/>
  <c r="BC12"/>
  <c r="BB12"/>
  <c r="BA12"/>
  <c r="AZ12"/>
  <c r="AY12"/>
  <c r="AX12"/>
  <c r="AW12"/>
  <c r="AR12"/>
  <c r="AQ12"/>
  <c r="AP12"/>
  <c r="AO12"/>
  <c r="AN12"/>
  <c r="AM12"/>
  <c r="AL12"/>
  <c r="AG12"/>
  <c r="AF12"/>
  <c r="AE12"/>
  <c r="AD12"/>
  <c r="AC12"/>
  <c r="AB12"/>
  <c r="AA12"/>
  <c r="V12"/>
  <c r="U12"/>
  <c r="T12"/>
  <c r="S12"/>
  <c r="R12"/>
  <c r="Q12"/>
  <c r="P12"/>
  <c r="K12"/>
  <c r="J12"/>
  <c r="I12"/>
  <c r="H12"/>
  <c r="F11" i="12" s="1"/>
  <c r="G12" i="10"/>
  <c r="F10" i="12" s="1"/>
  <c r="F12" i="10"/>
  <c r="F9" i="12" s="1"/>
  <c r="E12" i="10"/>
  <c r="BD11"/>
  <c r="G11"/>
  <c r="F11"/>
  <c r="BD10"/>
  <c r="BC10"/>
  <c r="BB10"/>
  <c r="BA10"/>
  <c r="AZ10"/>
  <c r="AY10"/>
  <c r="AX10"/>
  <c r="AW10"/>
  <c r="AR10"/>
  <c r="AQ10"/>
  <c r="AP10"/>
  <c r="AO10"/>
  <c r="AN10"/>
  <c r="AM10"/>
  <c r="AL10"/>
  <c r="AG10"/>
  <c r="AF10"/>
  <c r="AE10"/>
  <c r="AD10"/>
  <c r="AC10"/>
  <c r="AB10"/>
  <c r="AA10"/>
  <c r="V10"/>
  <c r="U10"/>
  <c r="T10"/>
  <c r="S10"/>
  <c r="R10"/>
  <c r="Q10"/>
  <c r="P10"/>
  <c r="K10"/>
  <c r="J10"/>
  <c r="I10"/>
  <c r="H10"/>
  <c r="G10"/>
  <c r="F10"/>
  <c r="E10"/>
  <c r="BD9"/>
  <c r="G9"/>
  <c r="F9"/>
  <c r="BD8"/>
  <c r="BC8"/>
  <c r="BB8"/>
  <c r="BA8"/>
  <c r="AZ8"/>
  <c r="AY8"/>
  <c r="AX8"/>
  <c r="AW8"/>
  <c r="AR8"/>
  <c r="AQ8"/>
  <c r="AP8"/>
  <c r="AO8"/>
  <c r="AN8"/>
  <c r="AM8"/>
  <c r="AL8"/>
  <c r="AG8"/>
  <c r="AF8"/>
  <c r="AE8"/>
  <c r="AD8"/>
  <c r="AC8"/>
  <c r="AB8"/>
  <c r="AA8"/>
  <c r="V8"/>
  <c r="U8"/>
  <c r="T8"/>
  <c r="S8"/>
  <c r="R8"/>
  <c r="Q8"/>
  <c r="P8"/>
  <c r="K8"/>
  <c r="J8"/>
  <c r="I8"/>
  <c r="H8"/>
  <c r="G8"/>
  <c r="F8"/>
  <c r="G31" i="9" s="1"/>
  <c r="E8" i="10"/>
  <c r="BD7"/>
  <c r="BC7"/>
  <c r="BB7"/>
  <c r="BB5" s="1"/>
  <c r="BA7"/>
  <c r="AZ7"/>
  <c r="AZ5" s="1"/>
  <c r="AY7"/>
  <c r="AX7"/>
  <c r="AW7"/>
  <c r="AR7"/>
  <c r="AQ7"/>
  <c r="AP7"/>
  <c r="AO7"/>
  <c r="AN7"/>
  <c r="AN5" s="1"/>
  <c r="AM7"/>
  <c r="AM5" s="1"/>
  <c r="AL7"/>
  <c r="AG7"/>
  <c r="AG5" s="1"/>
  <c r="AF7"/>
  <c r="AE7"/>
  <c r="AE5" s="1"/>
  <c r="AD7"/>
  <c r="AD5" s="1"/>
  <c r="AC7"/>
  <c r="AC5" s="1"/>
  <c r="AB7"/>
  <c r="AB5" s="1"/>
  <c r="AA7"/>
  <c r="AA5" s="1"/>
  <c r="V7"/>
  <c r="V5" s="1"/>
  <c r="U7"/>
  <c r="U5" s="1"/>
  <c r="T7"/>
  <c r="T5" s="1"/>
  <c r="S7"/>
  <c r="S5" s="1"/>
  <c r="R7"/>
  <c r="R5" s="1"/>
  <c r="Q7"/>
  <c r="P7"/>
  <c r="P5" s="1"/>
  <c r="K7"/>
  <c r="K5" s="1"/>
  <c r="J7"/>
  <c r="J5" s="1"/>
  <c r="I7"/>
  <c r="I5" s="1"/>
  <c r="H7"/>
  <c r="I15" i="9" s="1"/>
  <c r="G7" i="10"/>
  <c r="H15" i="9" s="1"/>
  <c r="F7" i="10"/>
  <c r="G15" i="9" s="1"/>
  <c r="E7" i="10"/>
  <c r="BD6"/>
  <c r="G6"/>
  <c r="F6"/>
  <c r="BD5"/>
  <c r="BC5"/>
  <c r="BA5"/>
  <c r="AY5"/>
  <c r="AX5"/>
  <c r="AW5"/>
  <c r="AR5"/>
  <c r="AQ5"/>
  <c r="AP5"/>
  <c r="AO5"/>
  <c r="AL5"/>
  <c r="AF5"/>
  <c r="Q5"/>
  <c r="G5"/>
  <c r="F5"/>
  <c r="E5"/>
  <c r="AX51" i="9"/>
  <c r="AW51"/>
  <c r="AV51"/>
  <c r="AV36"/>
  <c r="AO51"/>
  <c r="AN51"/>
  <c r="AM51"/>
  <c r="AM36"/>
  <c r="AF51"/>
  <c r="AE51"/>
  <c r="AD51"/>
  <c r="AD36"/>
  <c r="W51"/>
  <c r="V51"/>
  <c r="U51"/>
  <c r="N51"/>
  <c r="U36"/>
  <c r="L36"/>
  <c r="AX44"/>
  <c r="AW44"/>
  <c r="AV44"/>
  <c r="AX43"/>
  <c r="AW43"/>
  <c r="AV43"/>
  <c r="AX42"/>
  <c r="AW42"/>
  <c r="AV42"/>
  <c r="AX41"/>
  <c r="AW41"/>
  <c r="AV41"/>
  <c r="AX38"/>
  <c r="AW38"/>
  <c r="AV38"/>
  <c r="AX37"/>
  <c r="AW37"/>
  <c r="AV37"/>
  <c r="AX34"/>
  <c r="AW34"/>
  <c r="AV34"/>
  <c r="AX33"/>
  <c r="AW33"/>
  <c r="AV33"/>
  <c r="AX32"/>
  <c r="AW32"/>
  <c r="AV32"/>
  <c r="AX31"/>
  <c r="AW31"/>
  <c r="AV31"/>
  <c r="AX30"/>
  <c r="AX60" s="1"/>
  <c r="AW30"/>
  <c r="AW60" s="1"/>
  <c r="AV30"/>
  <c r="AV60" s="1"/>
  <c r="AX28"/>
  <c r="AW28"/>
  <c r="AV28"/>
  <c r="AX27"/>
  <c r="AW27"/>
  <c r="AV27"/>
  <c r="AX26"/>
  <c r="AW26"/>
  <c r="AV26"/>
  <c r="AX25"/>
  <c r="AW25"/>
  <c r="AV25"/>
  <c r="AX24"/>
  <c r="AW24"/>
  <c r="AW66" s="1"/>
  <c r="AV24"/>
  <c r="AX23"/>
  <c r="AX54" s="1"/>
  <c r="AX55" s="1"/>
  <c r="AW23"/>
  <c r="AW54" s="1"/>
  <c r="AW55" s="1"/>
  <c r="AV23"/>
  <c r="AV54" s="1"/>
  <c r="AV55" s="1"/>
  <c r="AX21"/>
  <c r="AW21"/>
  <c r="AV21"/>
  <c r="AX20"/>
  <c r="AW20"/>
  <c r="AV20"/>
  <c r="AX19"/>
  <c r="AW19"/>
  <c r="AV19"/>
  <c r="AX18"/>
  <c r="AX65" s="1"/>
  <c r="AW18"/>
  <c r="AW65" s="1"/>
  <c r="AV18"/>
  <c r="AV65" s="1"/>
  <c r="AX16"/>
  <c r="AW16"/>
  <c r="AV16"/>
  <c r="AX15"/>
  <c r="AW15"/>
  <c r="AV15"/>
  <c r="AX14"/>
  <c r="AW14"/>
  <c r="AV14"/>
  <c r="AX13"/>
  <c r="AW13"/>
  <c r="AV13"/>
  <c r="AX12"/>
  <c r="AW12"/>
  <c r="AV12"/>
  <c r="AX11"/>
  <c r="AW11"/>
  <c r="AV11"/>
  <c r="AX10"/>
  <c r="AX57" s="1"/>
  <c r="AX63" s="1"/>
  <c r="AW10"/>
  <c r="AW57" s="1"/>
  <c r="AW63" s="1"/>
  <c r="AV10"/>
  <c r="AV57" s="1"/>
  <c r="AV63" s="1"/>
  <c r="AX9"/>
  <c r="AW9"/>
  <c r="AV9"/>
  <c r="AX8"/>
  <c r="AW8"/>
  <c r="AV8"/>
  <c r="AX7"/>
  <c r="AX59" s="1"/>
  <c r="AX61" s="1"/>
  <c r="AW7"/>
  <c r="AW59" s="1"/>
  <c r="AW61" s="1"/>
  <c r="AV7"/>
  <c r="AV59" s="1"/>
  <c r="AV61" s="1"/>
  <c r="AX6"/>
  <c r="AW6"/>
  <c r="AV6"/>
  <c r="AX5"/>
  <c r="AX56" s="1"/>
  <c r="AX58" s="1"/>
  <c r="AW5"/>
  <c r="AW56" s="1"/>
  <c r="AW58" s="1"/>
  <c r="AV5"/>
  <c r="AV56" s="1"/>
  <c r="AV58" s="1"/>
  <c r="AX4"/>
  <c r="AX17" s="1"/>
  <c r="AX22" s="1"/>
  <c r="AX29" s="1"/>
  <c r="AX35" s="1"/>
  <c r="AW4"/>
  <c r="AW62" s="1"/>
  <c r="AW64" s="1"/>
  <c r="AV4"/>
  <c r="AV17" s="1"/>
  <c r="AV22" s="1"/>
  <c r="AV29" s="1"/>
  <c r="AV35" s="1"/>
  <c r="AS44"/>
  <c r="AR44"/>
  <c r="AQ44"/>
  <c r="AP44"/>
  <c r="AO44"/>
  <c r="AN44"/>
  <c r="AM44"/>
  <c r="AS43"/>
  <c r="AR43"/>
  <c r="AQ43"/>
  <c r="AP43"/>
  <c r="AO43"/>
  <c r="AN43"/>
  <c r="AM43"/>
  <c r="AS42"/>
  <c r="AR42"/>
  <c r="AQ42"/>
  <c r="AP42"/>
  <c r="AO42"/>
  <c r="AN42"/>
  <c r="AM42"/>
  <c r="AS41"/>
  <c r="AR41"/>
  <c r="AQ41"/>
  <c r="AP41"/>
  <c r="AO41"/>
  <c r="AN41"/>
  <c r="AM41"/>
  <c r="AS38"/>
  <c r="AR38"/>
  <c r="AQ38"/>
  <c r="AP38"/>
  <c r="AO38"/>
  <c r="AN38"/>
  <c r="AM38"/>
  <c r="AS37"/>
  <c r="AR37"/>
  <c r="AQ37"/>
  <c r="AP37"/>
  <c r="AO37"/>
  <c r="AN37"/>
  <c r="AM37"/>
  <c r="AS34"/>
  <c r="AR34"/>
  <c r="AQ34"/>
  <c r="AP34"/>
  <c r="AO34"/>
  <c r="AN34"/>
  <c r="AM34"/>
  <c r="AS33"/>
  <c r="AR33"/>
  <c r="AQ33"/>
  <c r="AP33"/>
  <c r="AO33"/>
  <c r="AN33"/>
  <c r="AM33"/>
  <c r="AS32"/>
  <c r="AR32"/>
  <c r="AQ32"/>
  <c r="AP32"/>
  <c r="AO32"/>
  <c r="AN32"/>
  <c r="AM32"/>
  <c r="AS31"/>
  <c r="AR31"/>
  <c r="AQ31"/>
  <c r="AP31"/>
  <c r="AO31"/>
  <c r="AN31"/>
  <c r="AM31"/>
  <c r="AS30"/>
  <c r="AS60" s="1"/>
  <c r="AR30"/>
  <c r="AR60" s="1"/>
  <c r="AQ30"/>
  <c r="AQ60" s="1"/>
  <c r="AP30"/>
  <c r="AP60" s="1"/>
  <c r="AO30"/>
  <c r="AO60" s="1"/>
  <c r="AN30"/>
  <c r="AN60" s="1"/>
  <c r="AM30"/>
  <c r="AM60" s="1"/>
  <c r="AS28"/>
  <c r="AR28"/>
  <c r="AQ28"/>
  <c r="AP28"/>
  <c r="AO28"/>
  <c r="AN28"/>
  <c r="AM28"/>
  <c r="AS27"/>
  <c r="AR27"/>
  <c r="AQ27"/>
  <c r="AP27"/>
  <c r="AO27"/>
  <c r="AN27"/>
  <c r="AM27"/>
  <c r="AS26"/>
  <c r="AR26"/>
  <c r="AQ26"/>
  <c r="AP26"/>
  <c r="AO26"/>
  <c r="AN26"/>
  <c r="AM26"/>
  <c r="AS25"/>
  <c r="AR25"/>
  <c r="AQ25"/>
  <c r="AP25"/>
  <c r="AO25"/>
  <c r="AN25"/>
  <c r="AM25"/>
  <c r="AS24"/>
  <c r="AR24"/>
  <c r="AR66" s="1"/>
  <c r="AQ24"/>
  <c r="AP24"/>
  <c r="AP66" s="1"/>
  <c r="AO24"/>
  <c r="AN24"/>
  <c r="AN66" s="1"/>
  <c r="AM24"/>
  <c r="AS23"/>
  <c r="AS55" s="1"/>
  <c r="AR23"/>
  <c r="AR55" s="1"/>
  <c r="AQ23"/>
  <c r="AQ55" s="1"/>
  <c r="AP23"/>
  <c r="AP55" s="1"/>
  <c r="AO23"/>
  <c r="AO55" s="1"/>
  <c r="AN23"/>
  <c r="AN55" s="1"/>
  <c r="AM23"/>
  <c r="AM55" s="1"/>
  <c r="AS21"/>
  <c r="AR21"/>
  <c r="AQ21"/>
  <c r="AP21"/>
  <c r="AO21"/>
  <c r="AN21"/>
  <c r="AM21"/>
  <c r="AS20"/>
  <c r="AR20"/>
  <c r="AQ20"/>
  <c r="AP20"/>
  <c r="AO20"/>
  <c r="AN20"/>
  <c r="AM20"/>
  <c r="AS19"/>
  <c r="AR19"/>
  <c r="AQ19"/>
  <c r="AP19"/>
  <c r="AO19"/>
  <c r="AN19"/>
  <c r="AM19"/>
  <c r="AS18"/>
  <c r="AS65" s="1"/>
  <c r="AR18"/>
  <c r="AR65" s="1"/>
  <c r="AQ18"/>
  <c r="AQ65" s="1"/>
  <c r="AP18"/>
  <c r="AP65" s="1"/>
  <c r="AO18"/>
  <c r="AO65" s="1"/>
  <c r="AN18"/>
  <c r="AN65" s="1"/>
  <c r="AM18"/>
  <c r="AM65" s="1"/>
  <c r="AS16"/>
  <c r="AR16"/>
  <c r="AQ16"/>
  <c r="AP16"/>
  <c r="AO16"/>
  <c r="AN16"/>
  <c r="AM16"/>
  <c r="AS15"/>
  <c r="AR15"/>
  <c r="AQ15"/>
  <c r="AP15"/>
  <c r="AO15"/>
  <c r="AN15"/>
  <c r="AM15"/>
  <c r="AS14"/>
  <c r="AR14"/>
  <c r="AQ14"/>
  <c r="AP14"/>
  <c r="AO14"/>
  <c r="AN14"/>
  <c r="AM14"/>
  <c r="AS13"/>
  <c r="AR13"/>
  <c r="AQ13"/>
  <c r="AP13"/>
  <c r="AO13"/>
  <c r="AN13"/>
  <c r="AM13"/>
  <c r="AS12"/>
  <c r="AR12"/>
  <c r="AQ12"/>
  <c r="AP12"/>
  <c r="AO12"/>
  <c r="AN12"/>
  <c r="AM12"/>
  <c r="AS11"/>
  <c r="AR11"/>
  <c r="AQ11"/>
  <c r="AP11"/>
  <c r="AO11"/>
  <c r="AN11"/>
  <c r="AM11"/>
  <c r="AS10"/>
  <c r="AS57" s="1"/>
  <c r="AS63" s="1"/>
  <c r="AR10"/>
  <c r="AR57" s="1"/>
  <c r="AR63" s="1"/>
  <c r="AQ10"/>
  <c r="AQ57" s="1"/>
  <c r="AQ63" s="1"/>
  <c r="AP10"/>
  <c r="AP57" s="1"/>
  <c r="AP63" s="1"/>
  <c r="AO10"/>
  <c r="AO57" s="1"/>
  <c r="AO63" s="1"/>
  <c r="AN10"/>
  <c r="AN57" s="1"/>
  <c r="AN63" s="1"/>
  <c r="AM10"/>
  <c r="AM57" s="1"/>
  <c r="AM63" s="1"/>
  <c r="AS9"/>
  <c r="AR9"/>
  <c r="AQ9"/>
  <c r="AP9"/>
  <c r="AO9"/>
  <c r="AN9"/>
  <c r="AM9"/>
  <c r="AS8"/>
  <c r="AR8"/>
  <c r="AQ8"/>
  <c r="AP8"/>
  <c r="AO8"/>
  <c r="AN8"/>
  <c r="AM8"/>
  <c r="AS7"/>
  <c r="AS59" s="1"/>
  <c r="AS61" s="1"/>
  <c r="AR7"/>
  <c r="AR59" s="1"/>
  <c r="AR61" s="1"/>
  <c r="AQ7"/>
  <c r="AQ59" s="1"/>
  <c r="AQ61" s="1"/>
  <c r="AP7"/>
  <c r="AP59" s="1"/>
  <c r="AP61" s="1"/>
  <c r="AO7"/>
  <c r="AO59" s="1"/>
  <c r="AO61" s="1"/>
  <c r="AN7"/>
  <c r="AN59" s="1"/>
  <c r="AN61" s="1"/>
  <c r="AM7"/>
  <c r="AM59" s="1"/>
  <c r="AM61" s="1"/>
  <c r="AS6"/>
  <c r="AR6"/>
  <c r="AQ6"/>
  <c r="AP6"/>
  <c r="AO6"/>
  <c r="AN6"/>
  <c r="AM6"/>
  <c r="AS5"/>
  <c r="AS56" s="1"/>
  <c r="AS58" s="1"/>
  <c r="AR5"/>
  <c r="AR56" s="1"/>
  <c r="AR58" s="1"/>
  <c r="AQ5"/>
  <c r="AQ56" s="1"/>
  <c r="AQ58" s="1"/>
  <c r="AP5"/>
  <c r="AP56" s="1"/>
  <c r="AP58" s="1"/>
  <c r="AO5"/>
  <c r="AO56" s="1"/>
  <c r="AO58" s="1"/>
  <c r="AN5"/>
  <c r="AN56" s="1"/>
  <c r="AN58" s="1"/>
  <c r="AM5"/>
  <c r="AM56" s="1"/>
  <c r="AM58" s="1"/>
  <c r="AS4"/>
  <c r="AS17" s="1"/>
  <c r="AS22" s="1"/>
  <c r="AS29" s="1"/>
  <c r="AS35" s="1"/>
  <c r="AR4"/>
  <c r="AR62" s="1"/>
  <c r="AR64" s="1"/>
  <c r="AQ4"/>
  <c r="AQ17" s="1"/>
  <c r="AQ22" s="1"/>
  <c r="AQ29" s="1"/>
  <c r="AQ35" s="1"/>
  <c r="AP4"/>
  <c r="AP62" s="1"/>
  <c r="AP64" s="1"/>
  <c r="AO4"/>
  <c r="AO17" s="1"/>
  <c r="AO22" s="1"/>
  <c r="AO29" s="1"/>
  <c r="AO35" s="1"/>
  <c r="AN4"/>
  <c r="AN62" s="1"/>
  <c r="AN64" s="1"/>
  <c r="AM4"/>
  <c r="AM17" s="1"/>
  <c r="AM22" s="1"/>
  <c r="AM29" s="1"/>
  <c r="AM35" s="1"/>
  <c r="AJ44"/>
  <c r="AI44"/>
  <c r="AH44"/>
  <c r="AG44"/>
  <c r="AF44"/>
  <c r="AE44"/>
  <c r="AD44"/>
  <c r="AJ43"/>
  <c r="AI43"/>
  <c r="AH43"/>
  <c r="AG43"/>
  <c r="AF43"/>
  <c r="AE43"/>
  <c r="AD43"/>
  <c r="AJ42"/>
  <c r="AI42"/>
  <c r="AH42"/>
  <c r="AG42"/>
  <c r="AF42"/>
  <c r="AE42"/>
  <c r="AD42"/>
  <c r="AJ41"/>
  <c r="AI41"/>
  <c r="AH41"/>
  <c r="AG41"/>
  <c r="AF41"/>
  <c r="AE41"/>
  <c r="AD41"/>
  <c r="AJ38"/>
  <c r="AI38"/>
  <c r="AH38"/>
  <c r="AG38"/>
  <c r="AF38"/>
  <c r="AE38"/>
  <c r="AD38"/>
  <c r="AJ37"/>
  <c r="AI37"/>
  <c r="AH37"/>
  <c r="AG37"/>
  <c r="AF37"/>
  <c r="AE37"/>
  <c r="AD37"/>
  <c r="AJ34"/>
  <c r="AI34"/>
  <c r="AH34"/>
  <c r="AG34"/>
  <c r="AF34"/>
  <c r="AE34"/>
  <c r="AD34"/>
  <c r="AJ33"/>
  <c r="AI33"/>
  <c r="AH33"/>
  <c r="AG33"/>
  <c r="AF33"/>
  <c r="AE33"/>
  <c r="AD33"/>
  <c r="AJ32"/>
  <c r="AI32"/>
  <c r="AH32"/>
  <c r="AG32"/>
  <c r="AF32"/>
  <c r="AE32"/>
  <c r="AD32"/>
  <c r="AJ31"/>
  <c r="AI31"/>
  <c r="AH31"/>
  <c r="AG31"/>
  <c r="AF31"/>
  <c r="AE31"/>
  <c r="AD31"/>
  <c r="AJ30"/>
  <c r="AJ60" s="1"/>
  <c r="AI30"/>
  <c r="AI60" s="1"/>
  <c r="AH30"/>
  <c r="AH60" s="1"/>
  <c r="AG30"/>
  <c r="AG60" s="1"/>
  <c r="AF30"/>
  <c r="AF60" s="1"/>
  <c r="AE30"/>
  <c r="AE60" s="1"/>
  <c r="AD30"/>
  <c r="AD60" s="1"/>
  <c r="AJ28"/>
  <c r="AI28"/>
  <c r="AH28"/>
  <c r="AG28"/>
  <c r="AF28"/>
  <c r="AE28"/>
  <c r="AD28"/>
  <c r="AJ27"/>
  <c r="AI27"/>
  <c r="AH27"/>
  <c r="AG27"/>
  <c r="AF27"/>
  <c r="AE27"/>
  <c r="AD27"/>
  <c r="AJ26"/>
  <c r="AI26"/>
  <c r="AH26"/>
  <c r="AG26"/>
  <c r="AF26"/>
  <c r="AE26"/>
  <c r="AD26"/>
  <c r="AJ25"/>
  <c r="AI25"/>
  <c r="AH25"/>
  <c r="AG25"/>
  <c r="AF25"/>
  <c r="AE25"/>
  <c r="AD25"/>
  <c r="AJ24"/>
  <c r="AI24"/>
  <c r="AI66" s="1"/>
  <c r="AH24"/>
  <c r="AG24"/>
  <c r="AG66" s="1"/>
  <c r="AF24"/>
  <c r="AE24"/>
  <c r="AE66" s="1"/>
  <c r="AD24"/>
  <c r="AJ23"/>
  <c r="AJ55" s="1"/>
  <c r="AI23"/>
  <c r="AI55" s="1"/>
  <c r="AH23"/>
  <c r="AH55" s="1"/>
  <c r="AG23"/>
  <c r="AG55" s="1"/>
  <c r="AF23"/>
  <c r="AF55" s="1"/>
  <c r="AE23"/>
  <c r="AE55" s="1"/>
  <c r="AD23"/>
  <c r="AD55" s="1"/>
  <c r="AJ21"/>
  <c r="AI21"/>
  <c r="AH21"/>
  <c r="AG21"/>
  <c r="AF21"/>
  <c r="AE21"/>
  <c r="AD21"/>
  <c r="AJ20"/>
  <c r="AI20"/>
  <c r="AH20"/>
  <c r="AG20"/>
  <c r="AF20"/>
  <c r="AE20"/>
  <c r="AD20"/>
  <c r="AJ19"/>
  <c r="AI19"/>
  <c r="AH19"/>
  <c r="AG19"/>
  <c r="AF19"/>
  <c r="AE19"/>
  <c r="AD19"/>
  <c r="AJ18"/>
  <c r="AJ65" s="1"/>
  <c r="AI18"/>
  <c r="AI65" s="1"/>
  <c r="AH18"/>
  <c r="AH65" s="1"/>
  <c r="AG18"/>
  <c r="AG65" s="1"/>
  <c r="AF18"/>
  <c r="AF65" s="1"/>
  <c r="AE18"/>
  <c r="AE65" s="1"/>
  <c r="AD18"/>
  <c r="AD65" s="1"/>
  <c r="AJ16"/>
  <c r="AI16"/>
  <c r="AH16"/>
  <c r="AG16"/>
  <c r="AF16"/>
  <c r="AE16"/>
  <c r="AD16"/>
  <c r="AJ15"/>
  <c r="AI15"/>
  <c r="AH15"/>
  <c r="AG15"/>
  <c r="AF15"/>
  <c r="AE15"/>
  <c r="AD15"/>
  <c r="AJ14"/>
  <c r="AI14"/>
  <c r="AH14"/>
  <c r="AG14"/>
  <c r="AF14"/>
  <c r="AE14"/>
  <c r="AD14"/>
  <c r="AJ13"/>
  <c r="AI13"/>
  <c r="AH13"/>
  <c r="AG13"/>
  <c r="AF13"/>
  <c r="AE13"/>
  <c r="AD13"/>
  <c r="AJ12"/>
  <c r="AI12"/>
  <c r="AH12"/>
  <c r="AG12"/>
  <c r="AF12"/>
  <c r="AE12"/>
  <c r="AD12"/>
  <c r="AJ11"/>
  <c r="AI11"/>
  <c r="AH11"/>
  <c r="AG11"/>
  <c r="AF11"/>
  <c r="AE11"/>
  <c r="AD11"/>
  <c r="AJ10"/>
  <c r="AJ57" s="1"/>
  <c r="AJ63" s="1"/>
  <c r="AI10"/>
  <c r="AI57" s="1"/>
  <c r="AI63" s="1"/>
  <c r="AH10"/>
  <c r="AH57" s="1"/>
  <c r="AH63" s="1"/>
  <c r="AG10"/>
  <c r="AG57" s="1"/>
  <c r="AG63" s="1"/>
  <c r="AF10"/>
  <c r="AF57" s="1"/>
  <c r="AF63" s="1"/>
  <c r="AE10"/>
  <c r="AE57" s="1"/>
  <c r="AE63" s="1"/>
  <c r="AD10"/>
  <c r="AD57" s="1"/>
  <c r="AD63" s="1"/>
  <c r="AJ9"/>
  <c r="AI9"/>
  <c r="AH9"/>
  <c r="AG9"/>
  <c r="AF9"/>
  <c r="AE9"/>
  <c r="AD9"/>
  <c r="AJ8"/>
  <c r="AI8"/>
  <c r="AH8"/>
  <c r="AG8"/>
  <c r="AF8"/>
  <c r="AE8"/>
  <c r="AD8"/>
  <c r="AJ7"/>
  <c r="AJ59" s="1"/>
  <c r="AJ61" s="1"/>
  <c r="AI7"/>
  <c r="AI59" s="1"/>
  <c r="AI61" s="1"/>
  <c r="AH7"/>
  <c r="AH59" s="1"/>
  <c r="AH61" s="1"/>
  <c r="AG7"/>
  <c r="AG59" s="1"/>
  <c r="AG61" s="1"/>
  <c r="AF7"/>
  <c r="AF59" s="1"/>
  <c r="AF61" s="1"/>
  <c r="AE7"/>
  <c r="AE59" s="1"/>
  <c r="AE61" s="1"/>
  <c r="AD7"/>
  <c r="AD59" s="1"/>
  <c r="AD61" s="1"/>
  <c r="AJ6"/>
  <c r="AI6"/>
  <c r="AH6"/>
  <c r="AG6"/>
  <c r="AF6"/>
  <c r="AE6"/>
  <c r="AD6"/>
  <c r="AJ5"/>
  <c r="AJ56" s="1"/>
  <c r="AJ58" s="1"/>
  <c r="AI5"/>
  <c r="AI56" s="1"/>
  <c r="AI58" s="1"/>
  <c r="AH5"/>
  <c r="AH56" s="1"/>
  <c r="AH58" s="1"/>
  <c r="AG5"/>
  <c r="AG56" s="1"/>
  <c r="AG58" s="1"/>
  <c r="AF5"/>
  <c r="AF56" s="1"/>
  <c r="AF58" s="1"/>
  <c r="AE5"/>
  <c r="AE56" s="1"/>
  <c r="AE58" s="1"/>
  <c r="AD5"/>
  <c r="AD56" s="1"/>
  <c r="AD58" s="1"/>
  <c r="AJ4"/>
  <c r="AJ17" s="1"/>
  <c r="AJ22" s="1"/>
  <c r="AJ29" s="1"/>
  <c r="AJ35" s="1"/>
  <c r="AI4"/>
  <c r="AI62" s="1"/>
  <c r="AI64" s="1"/>
  <c r="AH4"/>
  <c r="AH17" s="1"/>
  <c r="AH22" s="1"/>
  <c r="AH29" s="1"/>
  <c r="AH35" s="1"/>
  <c r="AG4"/>
  <c r="AG62" s="1"/>
  <c r="AG64" s="1"/>
  <c r="AF4"/>
  <c r="AF17" s="1"/>
  <c r="AF22" s="1"/>
  <c r="AF29" s="1"/>
  <c r="AF35" s="1"/>
  <c r="AE4"/>
  <c r="AE62" s="1"/>
  <c r="AE64" s="1"/>
  <c r="AD4"/>
  <c r="AD17" s="1"/>
  <c r="AD22" s="1"/>
  <c r="AD29" s="1"/>
  <c r="AD35" s="1"/>
  <c r="AA44"/>
  <c r="Z44"/>
  <c r="Y44"/>
  <c r="X44"/>
  <c r="W44"/>
  <c r="V44"/>
  <c r="U44"/>
  <c r="AA43"/>
  <c r="Z43"/>
  <c r="Y43"/>
  <c r="X43"/>
  <c r="W43"/>
  <c r="V43"/>
  <c r="U43"/>
  <c r="AA42"/>
  <c r="Z42"/>
  <c r="Y42"/>
  <c r="X42"/>
  <c r="W42"/>
  <c r="V42"/>
  <c r="U42"/>
  <c r="AA41"/>
  <c r="Z41"/>
  <c r="Y41"/>
  <c r="X41"/>
  <c r="W41"/>
  <c r="V41"/>
  <c r="U41"/>
  <c r="AA38"/>
  <c r="Z38"/>
  <c r="Y38"/>
  <c r="X38"/>
  <c r="W38"/>
  <c r="V38"/>
  <c r="U38"/>
  <c r="AA37"/>
  <c r="Y37"/>
  <c r="X37"/>
  <c r="W37"/>
  <c r="V37"/>
  <c r="U37"/>
  <c r="AA34"/>
  <c r="Z34"/>
  <c r="Y34"/>
  <c r="X34"/>
  <c r="W34"/>
  <c r="V34"/>
  <c r="U34"/>
  <c r="AA33"/>
  <c r="Z33"/>
  <c r="Y33"/>
  <c r="X33"/>
  <c r="W33"/>
  <c r="V33"/>
  <c r="U33"/>
  <c r="AA32"/>
  <c r="Z32"/>
  <c r="Y32"/>
  <c r="X32"/>
  <c r="W32"/>
  <c r="V32"/>
  <c r="U32"/>
  <c r="AA31"/>
  <c r="Z31"/>
  <c r="Y31"/>
  <c r="X31"/>
  <c r="W31"/>
  <c r="V31"/>
  <c r="U31"/>
  <c r="AA30"/>
  <c r="AA60" s="1"/>
  <c r="Z30"/>
  <c r="Z60" s="1"/>
  <c r="Y30"/>
  <c r="Y60" s="1"/>
  <c r="X30"/>
  <c r="X60" s="1"/>
  <c r="W30"/>
  <c r="W60" s="1"/>
  <c r="V30"/>
  <c r="V60" s="1"/>
  <c r="U30"/>
  <c r="U60" s="1"/>
  <c r="AA28"/>
  <c r="Z28"/>
  <c r="Y28"/>
  <c r="X28"/>
  <c r="W28"/>
  <c r="V28"/>
  <c r="U28"/>
  <c r="AA27"/>
  <c r="AA26"/>
  <c r="Z26"/>
  <c r="Y26"/>
  <c r="X26"/>
  <c r="W26"/>
  <c r="V26"/>
  <c r="U26"/>
  <c r="AA25"/>
  <c r="Z25"/>
  <c r="Y25"/>
  <c r="X25"/>
  <c r="W25"/>
  <c r="V25"/>
  <c r="U25"/>
  <c r="AA24"/>
  <c r="Z24"/>
  <c r="Z66" s="1"/>
  <c r="Y24"/>
  <c r="X24"/>
  <c r="X66" s="1"/>
  <c r="W24"/>
  <c r="V24"/>
  <c r="V66" s="1"/>
  <c r="U24"/>
  <c r="Z23"/>
  <c r="Z55" s="1"/>
  <c r="Y23"/>
  <c r="Y55" s="1"/>
  <c r="X23"/>
  <c r="X55" s="1"/>
  <c r="W23"/>
  <c r="W55" s="1"/>
  <c r="V23"/>
  <c r="V55" s="1"/>
  <c r="U23"/>
  <c r="U55" s="1"/>
  <c r="AA21"/>
  <c r="Z21"/>
  <c r="Y21"/>
  <c r="X21"/>
  <c r="W21"/>
  <c r="V21"/>
  <c r="U21"/>
  <c r="AA20"/>
  <c r="Z20"/>
  <c r="Y20"/>
  <c r="X20"/>
  <c r="W20"/>
  <c r="V20"/>
  <c r="U20"/>
  <c r="AA19"/>
  <c r="Z19"/>
  <c r="Y19"/>
  <c r="X19"/>
  <c r="W19"/>
  <c r="V19"/>
  <c r="U19"/>
  <c r="AA18"/>
  <c r="AA65" s="1"/>
  <c r="Z18"/>
  <c r="Z65" s="1"/>
  <c r="Y18"/>
  <c r="Y65" s="1"/>
  <c r="X18"/>
  <c r="X65" s="1"/>
  <c r="W18"/>
  <c r="W65" s="1"/>
  <c r="V18"/>
  <c r="V65" s="1"/>
  <c r="U18"/>
  <c r="U65" s="1"/>
  <c r="AA16"/>
  <c r="Z16"/>
  <c r="Y16"/>
  <c r="X16"/>
  <c r="W16"/>
  <c r="V16"/>
  <c r="U16"/>
  <c r="AA15"/>
  <c r="Z15"/>
  <c r="Y15"/>
  <c r="X15"/>
  <c r="W15"/>
  <c r="V15"/>
  <c r="U15"/>
  <c r="AA14"/>
  <c r="Z14"/>
  <c r="Y14"/>
  <c r="X14"/>
  <c r="W14"/>
  <c r="V14"/>
  <c r="U14"/>
  <c r="AA13"/>
  <c r="Z13"/>
  <c r="Y13"/>
  <c r="X13"/>
  <c r="W13"/>
  <c r="V13"/>
  <c r="U13"/>
  <c r="AA12"/>
  <c r="Z12"/>
  <c r="Y12"/>
  <c r="X12"/>
  <c r="W12"/>
  <c r="V12"/>
  <c r="U12"/>
  <c r="AA11"/>
  <c r="Z11"/>
  <c r="Y11"/>
  <c r="X11"/>
  <c r="W11"/>
  <c r="V11"/>
  <c r="U11"/>
  <c r="AA10"/>
  <c r="AA57" s="1"/>
  <c r="AA63" s="1"/>
  <c r="Z10"/>
  <c r="Z57" s="1"/>
  <c r="Z63" s="1"/>
  <c r="Y10"/>
  <c r="Y57" s="1"/>
  <c r="Y63" s="1"/>
  <c r="X10"/>
  <c r="X57" s="1"/>
  <c r="X63" s="1"/>
  <c r="W10"/>
  <c r="W57" s="1"/>
  <c r="W63" s="1"/>
  <c r="V10"/>
  <c r="V57" s="1"/>
  <c r="V63" s="1"/>
  <c r="U10"/>
  <c r="U57" s="1"/>
  <c r="U63" s="1"/>
  <c r="AA9"/>
  <c r="Z9"/>
  <c r="Y9"/>
  <c r="X9"/>
  <c r="W9"/>
  <c r="V9"/>
  <c r="U9"/>
  <c r="AA8"/>
  <c r="Z8"/>
  <c r="Y8"/>
  <c r="X8"/>
  <c r="W8"/>
  <c r="V8"/>
  <c r="U8"/>
  <c r="AA7"/>
  <c r="AA59" s="1"/>
  <c r="AA61" s="1"/>
  <c r="Z7"/>
  <c r="Z59" s="1"/>
  <c r="Z61" s="1"/>
  <c r="Y7"/>
  <c r="Y59" s="1"/>
  <c r="Y61" s="1"/>
  <c r="X7"/>
  <c r="X59" s="1"/>
  <c r="X61" s="1"/>
  <c r="W7"/>
  <c r="W59" s="1"/>
  <c r="W61" s="1"/>
  <c r="V7"/>
  <c r="V59" s="1"/>
  <c r="V61" s="1"/>
  <c r="U7"/>
  <c r="U59" s="1"/>
  <c r="U61" s="1"/>
  <c r="AA6"/>
  <c r="Z6"/>
  <c r="Y6"/>
  <c r="X6"/>
  <c r="W6"/>
  <c r="V6"/>
  <c r="U6"/>
  <c r="AA5"/>
  <c r="AA56" s="1"/>
  <c r="AA58" s="1"/>
  <c r="Z5"/>
  <c r="Z56" s="1"/>
  <c r="Z58" s="1"/>
  <c r="Y5"/>
  <c r="Y56" s="1"/>
  <c r="Y58" s="1"/>
  <c r="X5"/>
  <c r="X56" s="1"/>
  <c r="X58" s="1"/>
  <c r="W5"/>
  <c r="W56" s="1"/>
  <c r="W58" s="1"/>
  <c r="V5"/>
  <c r="V56" s="1"/>
  <c r="V58" s="1"/>
  <c r="U5"/>
  <c r="U56" s="1"/>
  <c r="U58" s="1"/>
  <c r="AA4"/>
  <c r="AA62" s="1"/>
  <c r="AA64" s="1"/>
  <c r="Z4"/>
  <c r="Z62" s="1"/>
  <c r="Z64" s="1"/>
  <c r="Y4"/>
  <c r="Y62" s="1"/>
  <c r="Y64" s="1"/>
  <c r="X4"/>
  <c r="X62" s="1"/>
  <c r="X64" s="1"/>
  <c r="W4"/>
  <c r="W62" s="1"/>
  <c r="W64" s="1"/>
  <c r="V4"/>
  <c r="V62" s="1"/>
  <c r="V64" s="1"/>
  <c r="U4"/>
  <c r="U62" s="1"/>
  <c r="U64" s="1"/>
  <c r="R44"/>
  <c r="Q44"/>
  <c r="P44"/>
  <c r="O44"/>
  <c r="N44"/>
  <c r="M44"/>
  <c r="L44"/>
  <c r="R43"/>
  <c r="Q43"/>
  <c r="P43"/>
  <c r="O43"/>
  <c r="N43"/>
  <c r="M43"/>
  <c r="L43"/>
  <c r="R42"/>
  <c r="Q42"/>
  <c r="P42"/>
  <c r="O42"/>
  <c r="N42"/>
  <c r="M42"/>
  <c r="L42"/>
  <c r="R41"/>
  <c r="Q41"/>
  <c r="P41"/>
  <c r="O41"/>
  <c r="N41"/>
  <c r="M41"/>
  <c r="L41"/>
  <c r="R38"/>
  <c r="Q38"/>
  <c r="P38"/>
  <c r="O38"/>
  <c r="N38"/>
  <c r="M38"/>
  <c r="L38"/>
  <c r="R37"/>
  <c r="Q37"/>
  <c r="P37"/>
  <c r="O37"/>
  <c r="N37"/>
  <c r="M37"/>
  <c r="L37"/>
  <c r="R34"/>
  <c r="Q34"/>
  <c r="P34"/>
  <c r="O34"/>
  <c r="N34"/>
  <c r="M34"/>
  <c r="L34"/>
  <c r="R33"/>
  <c r="Q33"/>
  <c r="P33"/>
  <c r="O33"/>
  <c r="N33"/>
  <c r="M33"/>
  <c r="L33"/>
  <c r="R32"/>
  <c r="Q32"/>
  <c r="P32"/>
  <c r="O32"/>
  <c r="N32"/>
  <c r="M32"/>
  <c r="L32"/>
  <c r="R31"/>
  <c r="Q31"/>
  <c r="P31"/>
  <c r="O31"/>
  <c r="N31"/>
  <c r="M31"/>
  <c r="L31"/>
  <c r="R30"/>
  <c r="R60" s="1"/>
  <c r="Q30"/>
  <c r="Q60" s="1"/>
  <c r="P30"/>
  <c r="P60" s="1"/>
  <c r="O30"/>
  <c r="O60" s="1"/>
  <c r="N30"/>
  <c r="N60" s="1"/>
  <c r="M30"/>
  <c r="M60" s="1"/>
  <c r="L30"/>
  <c r="L60" s="1"/>
  <c r="R28"/>
  <c r="Q28"/>
  <c r="P28"/>
  <c r="O28"/>
  <c r="N28"/>
  <c r="M28"/>
  <c r="L28"/>
  <c r="R26"/>
  <c r="Q26"/>
  <c r="P26"/>
  <c r="O26"/>
  <c r="N26"/>
  <c r="M26"/>
  <c r="L26"/>
  <c r="R25"/>
  <c r="Q25"/>
  <c r="P25"/>
  <c r="O25"/>
  <c r="N25"/>
  <c r="M25"/>
  <c r="L25"/>
  <c r="R24"/>
  <c r="Q24"/>
  <c r="Q66" s="1"/>
  <c r="P24"/>
  <c r="O24"/>
  <c r="O66" s="1"/>
  <c r="N24"/>
  <c r="M24"/>
  <c r="M66" s="1"/>
  <c r="L24"/>
  <c r="R23"/>
  <c r="R55" s="1"/>
  <c r="Q23"/>
  <c r="Q55" s="1"/>
  <c r="P23"/>
  <c r="P55" s="1"/>
  <c r="O23"/>
  <c r="O55" s="1"/>
  <c r="N23"/>
  <c r="N55" s="1"/>
  <c r="M23"/>
  <c r="M55" s="1"/>
  <c r="L23"/>
  <c r="L55" s="1"/>
  <c r="R21"/>
  <c r="Q21"/>
  <c r="P21"/>
  <c r="O21"/>
  <c r="N21"/>
  <c r="M21"/>
  <c r="L21"/>
  <c r="R20"/>
  <c r="Q20"/>
  <c r="P20"/>
  <c r="O20"/>
  <c r="N20"/>
  <c r="M20"/>
  <c r="L20"/>
  <c r="R19"/>
  <c r="Q19"/>
  <c r="P19"/>
  <c r="O19"/>
  <c r="N19"/>
  <c r="M19"/>
  <c r="L19"/>
  <c r="R18"/>
  <c r="R65" s="1"/>
  <c r="Q18"/>
  <c r="Q65" s="1"/>
  <c r="P18"/>
  <c r="P65" s="1"/>
  <c r="O18"/>
  <c r="O65" s="1"/>
  <c r="N18"/>
  <c r="N65" s="1"/>
  <c r="M18"/>
  <c r="M65" s="1"/>
  <c r="L18"/>
  <c r="L65" s="1"/>
  <c r="R16"/>
  <c r="Q16"/>
  <c r="P16"/>
  <c r="O16"/>
  <c r="N16"/>
  <c r="M16"/>
  <c r="L16"/>
  <c r="R15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0"/>
  <c r="R57" s="1"/>
  <c r="R63" s="1"/>
  <c r="Q10"/>
  <c r="Q57" s="1"/>
  <c r="Q63" s="1"/>
  <c r="P10"/>
  <c r="P57" s="1"/>
  <c r="P63" s="1"/>
  <c r="O10"/>
  <c r="O57" s="1"/>
  <c r="O63" s="1"/>
  <c r="N10"/>
  <c r="N57" s="1"/>
  <c r="N63" s="1"/>
  <c r="M10"/>
  <c r="M57" s="1"/>
  <c r="M63" s="1"/>
  <c r="L10"/>
  <c r="L57" s="1"/>
  <c r="L63" s="1"/>
  <c r="R9"/>
  <c r="Q9"/>
  <c r="P9"/>
  <c r="O9"/>
  <c r="N9"/>
  <c r="M9"/>
  <c r="L9"/>
  <c r="R8"/>
  <c r="Q8"/>
  <c r="P8"/>
  <c r="O8"/>
  <c r="N8"/>
  <c r="M8"/>
  <c r="L8"/>
  <c r="R7"/>
  <c r="R59" s="1"/>
  <c r="R61" s="1"/>
  <c r="Q7"/>
  <c r="Q59" s="1"/>
  <c r="Q61" s="1"/>
  <c r="P7"/>
  <c r="P59" s="1"/>
  <c r="P61" s="1"/>
  <c r="O7"/>
  <c r="O59" s="1"/>
  <c r="O61" s="1"/>
  <c r="N7"/>
  <c r="N59" s="1"/>
  <c r="N61" s="1"/>
  <c r="M7"/>
  <c r="M59" s="1"/>
  <c r="M61" s="1"/>
  <c r="L7"/>
  <c r="L59" s="1"/>
  <c r="L61" s="1"/>
  <c r="R6"/>
  <c r="Q6"/>
  <c r="P6"/>
  <c r="O6"/>
  <c r="N6"/>
  <c r="M6"/>
  <c r="L6"/>
  <c r="R5"/>
  <c r="R56" s="1"/>
  <c r="R58" s="1"/>
  <c r="Q5"/>
  <c r="Q56" s="1"/>
  <c r="Q58" s="1"/>
  <c r="P5"/>
  <c r="P56" s="1"/>
  <c r="P58" s="1"/>
  <c r="O5"/>
  <c r="O56" s="1"/>
  <c r="O58" s="1"/>
  <c r="N5"/>
  <c r="N56" s="1"/>
  <c r="N58" s="1"/>
  <c r="M5"/>
  <c r="M56" s="1"/>
  <c r="M58" s="1"/>
  <c r="L5"/>
  <c r="L56" s="1"/>
  <c r="L58" s="1"/>
  <c r="R4"/>
  <c r="R62" s="1"/>
  <c r="R64" s="1"/>
  <c r="Q4"/>
  <c r="Q62" s="1"/>
  <c r="Q64" s="1"/>
  <c r="P4"/>
  <c r="P62" s="1"/>
  <c r="P64" s="1"/>
  <c r="O4"/>
  <c r="O62" s="1"/>
  <c r="O64" s="1"/>
  <c r="N4"/>
  <c r="N62" s="1"/>
  <c r="N64" s="1"/>
  <c r="M4"/>
  <c r="M62" s="1"/>
  <c r="M64" s="1"/>
  <c r="L4"/>
  <c r="L62" s="1"/>
  <c r="L64" s="1"/>
  <c r="F60"/>
  <c r="E60"/>
  <c r="D60"/>
  <c r="F59"/>
  <c r="E59"/>
  <c r="D59"/>
  <c r="D61" s="1"/>
  <c r="F57"/>
  <c r="F63" s="1"/>
  <c r="E57"/>
  <c r="E63" s="1"/>
  <c r="D57"/>
  <c r="D63" s="1"/>
  <c r="G56"/>
  <c r="F56"/>
  <c r="F58" s="1"/>
  <c r="E56"/>
  <c r="E58" s="1"/>
  <c r="D56"/>
  <c r="D58" s="1"/>
  <c r="I44"/>
  <c r="H44"/>
  <c r="G44"/>
  <c r="F44"/>
  <c r="E44"/>
  <c r="D44"/>
  <c r="I43"/>
  <c r="H43"/>
  <c r="G43"/>
  <c r="F43"/>
  <c r="E43"/>
  <c r="D43"/>
  <c r="I42"/>
  <c r="H42"/>
  <c r="G42"/>
  <c r="I41"/>
  <c r="H41"/>
  <c r="G41"/>
  <c r="F41"/>
  <c r="E41"/>
  <c r="D41"/>
  <c r="I38"/>
  <c r="H38"/>
  <c r="E38"/>
  <c r="D38"/>
  <c r="D45" s="1"/>
  <c r="I37"/>
  <c r="H37"/>
  <c r="G37"/>
  <c r="I34"/>
  <c r="H34"/>
  <c r="G34"/>
  <c r="I33"/>
  <c r="H33"/>
  <c r="I32"/>
  <c r="H32"/>
  <c r="D32"/>
  <c r="I31"/>
  <c r="H31"/>
  <c r="I30"/>
  <c r="I60" s="1"/>
  <c r="H30"/>
  <c r="H60" s="1"/>
  <c r="G30"/>
  <c r="G60" s="1"/>
  <c r="I28"/>
  <c r="H28"/>
  <c r="G28"/>
  <c r="F28"/>
  <c r="F66" s="1"/>
  <c r="E28"/>
  <c r="E66" s="1"/>
  <c r="D28"/>
  <c r="D66" s="1"/>
  <c r="I26"/>
  <c r="H26"/>
  <c r="G57"/>
  <c r="I25"/>
  <c r="H25"/>
  <c r="G25"/>
  <c r="E25"/>
  <c r="I24"/>
  <c r="H24"/>
  <c r="H66" s="1"/>
  <c r="G24"/>
  <c r="I23"/>
  <c r="I55" s="1"/>
  <c r="H23"/>
  <c r="G23"/>
  <c r="F23"/>
  <c r="E23"/>
  <c r="D23"/>
  <c r="D52" s="1"/>
  <c r="I21"/>
  <c r="H21"/>
  <c r="G21"/>
  <c r="F21"/>
  <c r="E21"/>
  <c r="D21"/>
  <c r="I20"/>
  <c r="H20"/>
  <c r="G20"/>
  <c r="F20"/>
  <c r="F65" s="1"/>
  <c r="E20"/>
  <c r="E65" s="1"/>
  <c r="D20"/>
  <c r="D65" s="1"/>
  <c r="I19"/>
  <c r="H19"/>
  <c r="G19"/>
  <c r="I18"/>
  <c r="I65" s="1"/>
  <c r="H18"/>
  <c r="H65" s="1"/>
  <c r="G65"/>
  <c r="I14"/>
  <c r="H14"/>
  <c r="G14"/>
  <c r="F14"/>
  <c r="E14"/>
  <c r="D14"/>
  <c r="D48" s="1"/>
  <c r="I13"/>
  <c r="H13"/>
  <c r="G13"/>
  <c r="I12"/>
  <c r="H12"/>
  <c r="G12"/>
  <c r="I11"/>
  <c r="H11"/>
  <c r="I10"/>
  <c r="I57" s="1"/>
  <c r="I63" s="1"/>
  <c r="H10"/>
  <c r="H57" s="1"/>
  <c r="H63" s="1"/>
  <c r="I9"/>
  <c r="I8"/>
  <c r="H8"/>
  <c r="I7"/>
  <c r="I59" s="1"/>
  <c r="I61" s="1"/>
  <c r="H59"/>
  <c r="H61" s="1"/>
  <c r="G59"/>
  <c r="G61" s="1"/>
  <c r="I5"/>
  <c r="H5"/>
  <c r="H56" s="1"/>
  <c r="H58" s="1"/>
  <c r="I4"/>
  <c r="I17" s="1"/>
  <c r="I22" s="1"/>
  <c r="I29" s="1"/>
  <c r="I35" s="1"/>
  <c r="H4"/>
  <c r="H62" s="1"/>
  <c r="H64" s="1"/>
  <c r="G4"/>
  <c r="F4"/>
  <c r="F62" s="1"/>
  <c r="F64" s="1"/>
  <c r="E4"/>
  <c r="E50" s="1"/>
  <c r="D4"/>
  <c r="D62" s="1"/>
  <c r="D64" s="1"/>
  <c r="C60"/>
  <c r="C59"/>
  <c r="C61" s="1"/>
  <c r="C57"/>
  <c r="C63" s="1"/>
  <c r="C56"/>
  <c r="C58" s="1"/>
  <c r="C44"/>
  <c r="C43"/>
  <c r="C41"/>
  <c r="C38"/>
  <c r="C45" s="1"/>
  <c r="C28"/>
  <c r="C66" s="1"/>
  <c r="C25"/>
  <c r="C23"/>
  <c r="C54" s="1"/>
  <c r="C21"/>
  <c r="C20"/>
  <c r="C65" s="1"/>
  <c r="C14"/>
  <c r="C48" s="1"/>
  <c r="C4"/>
  <c r="C50" s="1"/>
  <c r="G17" l="1"/>
  <c r="G22" s="1"/>
  <c r="G29" s="1"/>
  <c r="G35" s="1"/>
  <c r="G54"/>
  <c r="G50"/>
  <c r="I51" s="1"/>
  <c r="G48"/>
  <c r="G47"/>
  <c r="G52"/>
  <c r="G49"/>
  <c r="G46"/>
  <c r="G45"/>
  <c r="G8" i="12"/>
  <c r="G26" i="11"/>
  <c r="J8" i="12"/>
  <c r="H8" s="1"/>
  <c r="F9" i="11"/>
  <c r="G8"/>
  <c r="G6" s="1"/>
  <c r="G16"/>
  <c r="E40"/>
  <c r="J7" i="12" s="1"/>
  <c r="E14" i="11"/>
  <c r="D5" i="13"/>
  <c r="E26" i="11"/>
  <c r="I7" i="12"/>
  <c r="H7" s="1"/>
  <c r="H5" i="10"/>
  <c r="E11" i="12"/>
  <c r="C11"/>
  <c r="B11" s="1"/>
  <c r="D7" i="13"/>
  <c r="B7" s="1"/>
  <c r="G9" i="12"/>
  <c r="D9" s="1"/>
  <c r="D12"/>
  <c r="B12" s="1"/>
  <c r="H12"/>
  <c r="H14"/>
  <c r="D14"/>
  <c r="B14" s="1"/>
  <c r="H16"/>
  <c r="D16"/>
  <c r="B16" s="1"/>
  <c r="H18"/>
  <c r="D18"/>
  <c r="B18" s="1"/>
  <c r="H20"/>
  <c r="D20"/>
  <c r="B20" s="1"/>
  <c r="H22"/>
  <c r="D22"/>
  <c r="B22" s="1"/>
  <c r="H24"/>
  <c r="D24"/>
  <c r="B24" s="1"/>
  <c r="C10"/>
  <c r="D8" i="13"/>
  <c r="B8" s="1"/>
  <c r="G10" i="12"/>
  <c r="D10" s="1"/>
  <c r="H13"/>
  <c r="D13"/>
  <c r="B13" s="1"/>
  <c r="H15"/>
  <c r="D15"/>
  <c r="B15" s="1"/>
  <c r="H17"/>
  <c r="D17"/>
  <c r="B17" s="1"/>
  <c r="H19"/>
  <c r="D19"/>
  <c r="B19" s="1"/>
  <c r="H21"/>
  <c r="D21"/>
  <c r="B21" s="1"/>
  <c r="H23"/>
  <c r="D23"/>
  <c r="B23" s="1"/>
  <c r="G11" i="11"/>
  <c r="C6" i="13"/>
  <c r="B6" s="1"/>
  <c r="F8" i="12"/>
  <c r="C9"/>
  <c r="B9" s="1"/>
  <c r="E18" i="11"/>
  <c r="E16" s="1"/>
  <c r="F17"/>
  <c r="F18"/>
  <c r="F16" s="1"/>
  <c r="F26"/>
  <c r="E61" i="9"/>
  <c r="E48"/>
  <c r="E54"/>
  <c r="E55" s="1"/>
  <c r="E45"/>
  <c r="G55"/>
  <c r="F61"/>
  <c r="G12" i="11"/>
  <c r="G10"/>
  <c r="G7" s="1"/>
  <c r="F12"/>
  <c r="F10"/>
  <c r="F7" s="1"/>
  <c r="F49"/>
  <c r="AW17" i="9"/>
  <c r="AW22" s="1"/>
  <c r="AW29" s="1"/>
  <c r="AW35" s="1"/>
  <c r="AV52"/>
  <c r="AV53" s="1"/>
  <c r="AX52"/>
  <c r="AX53" s="1"/>
  <c r="AV62"/>
  <c r="AV64" s="1"/>
  <c r="AX62"/>
  <c r="AX64" s="1"/>
  <c r="AV66"/>
  <c r="AX66"/>
  <c r="AW52"/>
  <c r="AW53" s="1"/>
  <c r="AN17"/>
  <c r="AN22" s="1"/>
  <c r="AN29" s="1"/>
  <c r="AN35" s="1"/>
  <c r="AP17"/>
  <c r="AP22" s="1"/>
  <c r="AP29" s="1"/>
  <c r="AP35" s="1"/>
  <c r="AR17"/>
  <c r="AR22" s="1"/>
  <c r="AR29" s="1"/>
  <c r="AR35" s="1"/>
  <c r="AM52"/>
  <c r="AM53" s="1"/>
  <c r="AO52"/>
  <c r="AO53" s="1"/>
  <c r="AQ52"/>
  <c r="AQ53" s="1"/>
  <c r="AS52"/>
  <c r="AS53" s="1"/>
  <c r="AM62"/>
  <c r="AM64" s="1"/>
  <c r="AO62"/>
  <c r="AO64" s="1"/>
  <c r="AQ62"/>
  <c r="AQ64" s="1"/>
  <c r="AS62"/>
  <c r="AS64" s="1"/>
  <c r="AM66"/>
  <c r="AO66"/>
  <c r="AQ66"/>
  <c r="AS66"/>
  <c r="AS51"/>
  <c r="AN52"/>
  <c r="AN53" s="1"/>
  <c r="AP52"/>
  <c r="AP53" s="1"/>
  <c r="AR52"/>
  <c r="AR53" s="1"/>
  <c r="AE17"/>
  <c r="AE22" s="1"/>
  <c r="AE29" s="1"/>
  <c r="AE35" s="1"/>
  <c r="AG17"/>
  <c r="AG22" s="1"/>
  <c r="AG29" s="1"/>
  <c r="AG35" s="1"/>
  <c r="AI17"/>
  <c r="AI22" s="1"/>
  <c r="AI29" s="1"/>
  <c r="AI35" s="1"/>
  <c r="AD53"/>
  <c r="AF53"/>
  <c r="AH53"/>
  <c r="AJ53"/>
  <c r="AD62"/>
  <c r="AD64" s="1"/>
  <c r="AF62"/>
  <c r="AF64" s="1"/>
  <c r="AH62"/>
  <c r="AH64" s="1"/>
  <c r="AJ62"/>
  <c r="AJ64" s="1"/>
  <c r="AD66"/>
  <c r="AF66"/>
  <c r="AH66"/>
  <c r="AJ66"/>
  <c r="AJ51"/>
  <c r="AE53"/>
  <c r="AG53"/>
  <c r="AI53"/>
  <c r="U17"/>
  <c r="U22" s="1"/>
  <c r="U29" s="1"/>
  <c r="U35" s="1"/>
  <c r="W17"/>
  <c r="W22" s="1"/>
  <c r="W29" s="1"/>
  <c r="W35" s="1"/>
  <c r="Y17"/>
  <c r="Y22" s="1"/>
  <c r="Y29" s="1"/>
  <c r="Y35" s="1"/>
  <c r="AA17"/>
  <c r="AA22" s="1"/>
  <c r="AA29" s="1"/>
  <c r="AA35" s="1"/>
  <c r="AA23"/>
  <c r="U53"/>
  <c r="W53"/>
  <c r="Y53"/>
  <c r="U66"/>
  <c r="W66"/>
  <c r="Y66"/>
  <c r="AA66"/>
  <c r="V17"/>
  <c r="V22" s="1"/>
  <c r="V29" s="1"/>
  <c r="V35" s="1"/>
  <c r="X17"/>
  <c r="X22" s="1"/>
  <c r="X29" s="1"/>
  <c r="X35" s="1"/>
  <c r="Z17"/>
  <c r="Z22" s="1"/>
  <c r="Z29" s="1"/>
  <c r="Z35" s="1"/>
  <c r="Y51"/>
  <c r="V53"/>
  <c r="X53"/>
  <c r="Z53"/>
  <c r="L17"/>
  <c r="L22" s="1"/>
  <c r="L29" s="1"/>
  <c r="L35" s="1"/>
  <c r="N17"/>
  <c r="N22" s="1"/>
  <c r="N29" s="1"/>
  <c r="N35" s="1"/>
  <c r="P17"/>
  <c r="P22" s="1"/>
  <c r="P29" s="1"/>
  <c r="P35" s="1"/>
  <c r="R17"/>
  <c r="R22" s="1"/>
  <c r="R29" s="1"/>
  <c r="R35" s="1"/>
  <c r="L53"/>
  <c r="N53"/>
  <c r="P53"/>
  <c r="R53"/>
  <c r="L66"/>
  <c r="N66"/>
  <c r="P66"/>
  <c r="R66"/>
  <c r="M17"/>
  <c r="M22" s="1"/>
  <c r="M29" s="1"/>
  <c r="M35" s="1"/>
  <c r="O17"/>
  <c r="O22" s="1"/>
  <c r="O29" s="1"/>
  <c r="O35" s="1"/>
  <c r="Q17"/>
  <c r="Q22" s="1"/>
  <c r="Q29" s="1"/>
  <c r="Q35" s="1"/>
  <c r="P51"/>
  <c r="M53"/>
  <c r="O53"/>
  <c r="Q53"/>
  <c r="G63"/>
  <c r="G58"/>
  <c r="D17"/>
  <c r="D22" s="1"/>
  <c r="D29" s="1"/>
  <c r="D35" s="1"/>
  <c r="F17"/>
  <c r="F22" s="1"/>
  <c r="F29" s="1"/>
  <c r="F35" s="1"/>
  <c r="H17"/>
  <c r="H22" s="1"/>
  <c r="H29" s="1"/>
  <c r="H35" s="1"/>
  <c r="D46"/>
  <c r="D47"/>
  <c r="D49"/>
  <c r="D50"/>
  <c r="F50"/>
  <c r="E52"/>
  <c r="E53" s="1"/>
  <c r="G53"/>
  <c r="I53"/>
  <c r="D54"/>
  <c r="F55"/>
  <c r="H55"/>
  <c r="I56"/>
  <c r="I58" s="1"/>
  <c r="E62"/>
  <c r="E64" s="1"/>
  <c r="G62"/>
  <c r="I62"/>
  <c r="I64" s="1"/>
  <c r="G66"/>
  <c r="I66"/>
  <c r="E17"/>
  <c r="E22" s="1"/>
  <c r="E29" s="1"/>
  <c r="E35" s="1"/>
  <c r="I36"/>
  <c r="E46"/>
  <c r="E47"/>
  <c r="E49"/>
  <c r="C47"/>
  <c r="C49"/>
  <c r="C52"/>
  <c r="C62"/>
  <c r="C64" s="1"/>
  <c r="C17"/>
  <c r="C22" s="1"/>
  <c r="C29" s="1"/>
  <c r="C35" s="1"/>
  <c r="C46"/>
  <c r="G64" l="1"/>
  <c r="D8" i="12"/>
  <c r="H51" i="9"/>
  <c r="E9" i="12"/>
  <c r="E9" i="11"/>
  <c r="G7" i="12"/>
  <c r="D7" s="1"/>
  <c r="E13" i="11"/>
  <c r="C5" i="13" s="1"/>
  <c r="B5" s="1"/>
  <c r="E10" i="12"/>
  <c r="B10"/>
  <c r="E8"/>
  <c r="C8"/>
  <c r="B8" s="1"/>
  <c r="F13" i="11"/>
  <c r="M51" i="9"/>
  <c r="L51"/>
  <c r="E8" i="11"/>
  <c r="E6" s="1"/>
  <c r="AW36" i="9"/>
  <c r="AQ51"/>
  <c r="AR51"/>
  <c r="AP51"/>
  <c r="AN36"/>
  <c r="AH51"/>
  <c r="AI51"/>
  <c r="AG51"/>
  <c r="AE36"/>
  <c r="V36"/>
  <c r="X51"/>
  <c r="AA55"/>
  <c r="AA51"/>
  <c r="Z51"/>
  <c r="O51"/>
  <c r="M36"/>
  <c r="R51"/>
  <c r="Q51"/>
  <c r="H53"/>
  <c r="F53"/>
  <c r="F7" i="12" l="1"/>
  <c r="E11" i="11"/>
  <c r="C7" i="12"/>
  <c r="B7" s="1"/>
  <c r="E7"/>
  <c r="F11" i="11"/>
  <c r="F8"/>
  <c r="F6" s="1"/>
  <c r="AX36" i="9"/>
  <c r="AO36"/>
  <c r="AF36"/>
  <c r="AA53"/>
  <c r="W36"/>
  <c r="N36"/>
  <c r="AP36" l="1"/>
  <c r="AG36"/>
  <c r="X36"/>
  <c r="O36"/>
  <c r="AQ36" l="1"/>
  <c r="AH36"/>
  <c r="Y36"/>
  <c r="P36"/>
  <c r="AH60" i="8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E32"/>
  <c r="D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L4"/>
  <c r="K4"/>
  <c r="J4"/>
  <c r="I4"/>
  <c r="H4"/>
  <c r="G4"/>
  <c r="F4"/>
  <c r="E4"/>
  <c r="D4"/>
  <c r="AH4"/>
  <c r="AH8"/>
  <c r="AH12"/>
  <c r="AH16"/>
  <c r="AH20"/>
  <c r="AH24"/>
  <c r="AH28"/>
  <c r="AH32"/>
  <c r="AH36"/>
  <c r="AH40"/>
  <c r="AH44"/>
  <c r="AH48"/>
  <c r="AH52"/>
  <c r="AH56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25"/>
  <c r="AH23"/>
  <c r="AH21"/>
  <c r="AH19"/>
  <c r="AH17"/>
  <c r="AH15"/>
  <c r="AH13"/>
  <c r="AH11"/>
  <c r="AH9"/>
  <c r="AH7"/>
  <c r="AH5"/>
  <c r="AH6"/>
  <c r="AH10"/>
  <c r="AH14"/>
  <c r="AH18"/>
  <c r="AH22"/>
  <c r="AH26"/>
  <c r="AH30"/>
  <c r="AH34"/>
  <c r="AH38"/>
  <c r="AH42"/>
  <c r="AH46"/>
  <c r="AH50"/>
  <c r="AH54"/>
  <c r="AH58"/>
  <c r="AI60"/>
  <c r="AI58"/>
  <c r="AI56"/>
  <c r="AI54"/>
  <c r="AI52"/>
  <c r="AI50"/>
  <c r="AI48"/>
  <c r="AI46"/>
  <c r="AI44"/>
  <c r="AI42"/>
  <c r="AI40"/>
  <c r="AI38"/>
  <c r="AI36"/>
  <c r="AI34"/>
  <c r="AI32"/>
  <c r="AI30"/>
  <c r="AI28"/>
  <c r="AI26"/>
  <c r="AI24"/>
  <c r="AI22"/>
  <c r="AI20"/>
  <c r="AI18"/>
  <c r="AI16"/>
  <c r="AI14"/>
  <c r="AI12"/>
  <c r="AI10"/>
  <c r="AI8"/>
  <c r="AI6"/>
  <c r="AI4"/>
  <c r="AI57"/>
  <c r="AI53"/>
  <c r="AI49"/>
  <c r="AI45"/>
  <c r="AI41"/>
  <c r="AI37"/>
  <c r="AI33"/>
  <c r="AI29"/>
  <c r="AI25"/>
  <c r="AI21"/>
  <c r="AI17"/>
  <c r="AI13"/>
  <c r="AI9"/>
  <c r="AI5"/>
  <c r="AI59"/>
  <c r="AI55"/>
  <c r="AI51"/>
  <c r="AI47"/>
  <c r="AI43"/>
  <c r="AI39"/>
  <c r="AI35"/>
  <c r="AI31"/>
  <c r="AI27"/>
  <c r="AI23"/>
  <c r="AI19"/>
  <c r="AI15"/>
  <c r="AI11"/>
  <c r="AI7"/>
  <c r="AJ59"/>
  <c r="AJ57"/>
  <c r="AJ55"/>
  <c r="AJ53"/>
  <c r="AJ51"/>
  <c r="AJ49"/>
  <c r="AJ47"/>
  <c r="AJ45"/>
  <c r="AJ43"/>
  <c r="AJ41"/>
  <c r="AJ39"/>
  <c r="AJ37"/>
  <c r="AJ35"/>
  <c r="AJ33"/>
  <c r="AJ31"/>
  <c r="AJ29"/>
  <c r="AJ27"/>
  <c r="AJ25"/>
  <c r="AJ23"/>
  <c r="AJ21"/>
  <c r="AJ19"/>
  <c r="AJ17"/>
  <c r="AJ15"/>
  <c r="AJ13"/>
  <c r="AJ11"/>
  <c r="AJ9"/>
  <c r="AJ7"/>
  <c r="AJ5"/>
  <c r="AJ60"/>
  <c r="AJ56"/>
  <c r="AJ52"/>
  <c r="AJ48"/>
  <c r="AJ44"/>
  <c r="AJ40"/>
  <c r="AJ36"/>
  <c r="AJ32"/>
  <c r="AJ28"/>
  <c r="AJ24"/>
  <c r="AJ20"/>
  <c r="AJ16"/>
  <c r="AJ12"/>
  <c r="AJ8"/>
  <c r="AJ4"/>
  <c r="AJ58"/>
  <c r="AJ54"/>
  <c r="AJ50"/>
  <c r="AJ46"/>
  <c r="AJ42"/>
  <c r="AJ38"/>
  <c r="AJ34"/>
  <c r="AJ30"/>
  <c r="AJ26"/>
  <c r="AJ22"/>
  <c r="AJ18"/>
  <c r="AJ14"/>
  <c r="AJ10"/>
  <c r="AJ6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59"/>
  <c r="AK55"/>
  <c r="AK51"/>
  <c r="AK47"/>
  <c r="AK43"/>
  <c r="AK39"/>
  <c r="AK35"/>
  <c r="AK31"/>
  <c r="AK27"/>
  <c r="AK23"/>
  <c r="AK19"/>
  <c r="AK15"/>
  <c r="AK11"/>
  <c r="AK7"/>
  <c r="AK57"/>
  <c r="AK53"/>
  <c r="AK49"/>
  <c r="AK45"/>
  <c r="AK41"/>
  <c r="AK37"/>
  <c r="AK33"/>
  <c r="AK29"/>
  <c r="AK25"/>
  <c r="AK21"/>
  <c r="AK17"/>
  <c r="AK13"/>
  <c r="AK9"/>
  <c r="AK5"/>
  <c r="AL59"/>
  <c r="AL57"/>
  <c r="AL55"/>
  <c r="AL53"/>
  <c r="AL51"/>
  <c r="AL49"/>
  <c r="AL47"/>
  <c r="AL45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AL5"/>
  <c r="AL58"/>
  <c r="AL54"/>
  <c r="AL50"/>
  <c r="AL46"/>
  <c r="AL42"/>
  <c r="AL38"/>
  <c r="AL34"/>
  <c r="AL30"/>
  <c r="AL26"/>
  <c r="AL22"/>
  <c r="AL18"/>
  <c r="AL14"/>
  <c r="AL10"/>
  <c r="AL6"/>
  <c r="AL60"/>
  <c r="AL56"/>
  <c r="AL52"/>
  <c r="AL48"/>
  <c r="AL44"/>
  <c r="AL40"/>
  <c r="AL36"/>
  <c r="AL32"/>
  <c r="AL28"/>
  <c r="AL24"/>
  <c r="AL20"/>
  <c r="AL16"/>
  <c r="AL12"/>
  <c r="AL8"/>
  <c r="AL4"/>
  <c r="AM60"/>
  <c r="AM58"/>
  <c r="AM56"/>
  <c r="AM54"/>
  <c r="AM52"/>
  <c r="AM50"/>
  <c r="AM48"/>
  <c r="AM46"/>
  <c r="AM44"/>
  <c r="AM42"/>
  <c r="AM40"/>
  <c r="AM38"/>
  <c r="AM36"/>
  <c r="AM34"/>
  <c r="AM32"/>
  <c r="AM30"/>
  <c r="AM28"/>
  <c r="AM26"/>
  <c r="AM24"/>
  <c r="AM22"/>
  <c r="AM20"/>
  <c r="AM18"/>
  <c r="AM16"/>
  <c r="AM14"/>
  <c r="AM12"/>
  <c r="AM10"/>
  <c r="AM8"/>
  <c r="AM6"/>
  <c r="AM4"/>
  <c r="AM57"/>
  <c r="AM53"/>
  <c r="AM49"/>
  <c r="AM45"/>
  <c r="AM41"/>
  <c r="AM37"/>
  <c r="AM33"/>
  <c r="AM29"/>
  <c r="AM25"/>
  <c r="AM21"/>
  <c r="AM17"/>
  <c r="AM13"/>
  <c r="AM9"/>
  <c r="AM5"/>
  <c r="AM59"/>
  <c r="AM55"/>
  <c r="AM51"/>
  <c r="AM47"/>
  <c r="AM43"/>
  <c r="AM39"/>
  <c r="AM35"/>
  <c r="AM31"/>
  <c r="AM27"/>
  <c r="AM23"/>
  <c r="AM19"/>
  <c r="AM15"/>
  <c r="AM11"/>
  <c r="AM7"/>
  <c r="AN59"/>
  <c r="AN57"/>
  <c r="AN55"/>
  <c r="AN53"/>
  <c r="AN51"/>
  <c r="AN49"/>
  <c r="AN47"/>
  <c r="AN45"/>
  <c r="AN43"/>
  <c r="AN41"/>
  <c r="AN39"/>
  <c r="AN37"/>
  <c r="AN35"/>
  <c r="AN33"/>
  <c r="AN31"/>
  <c r="AN29"/>
  <c r="AN27"/>
  <c r="AN25"/>
  <c r="AN23"/>
  <c r="AN21"/>
  <c r="AN19"/>
  <c r="AN17"/>
  <c r="AN15"/>
  <c r="AN13"/>
  <c r="AN11"/>
  <c r="AN9"/>
  <c r="AN7"/>
  <c r="AN5"/>
  <c r="AN60"/>
  <c r="AN56"/>
  <c r="AN52"/>
  <c r="AN48"/>
  <c r="AN44"/>
  <c r="AN40"/>
  <c r="AN36"/>
  <c r="AN32"/>
  <c r="AN28"/>
  <c r="AN24"/>
  <c r="AN20"/>
  <c r="AN16"/>
  <c r="AN12"/>
  <c r="AN8"/>
  <c r="AN4"/>
  <c r="AN58"/>
  <c r="AN54"/>
  <c r="AN50"/>
  <c r="AN46"/>
  <c r="AN42"/>
  <c r="AN38"/>
  <c r="AN34"/>
  <c r="AN30"/>
  <c r="AN26"/>
  <c r="AN22"/>
  <c r="AN18"/>
  <c r="AN14"/>
  <c r="AN10"/>
  <c r="AN6"/>
  <c r="AO60"/>
  <c r="AO58"/>
  <c r="AO56"/>
  <c r="AO54"/>
  <c r="AO52"/>
  <c r="AO50"/>
  <c r="AO48"/>
  <c r="AO46"/>
  <c r="AO44"/>
  <c r="AO42"/>
  <c r="AO40"/>
  <c r="AO38"/>
  <c r="AO36"/>
  <c r="AO34"/>
  <c r="AO32"/>
  <c r="AO30"/>
  <c r="AO28"/>
  <c r="AO26"/>
  <c r="AO24"/>
  <c r="AO22"/>
  <c r="AO20"/>
  <c r="AO18"/>
  <c r="AO16"/>
  <c r="AO14"/>
  <c r="AO12"/>
  <c r="AO10"/>
  <c r="AO8"/>
  <c r="AO6"/>
  <c r="AO4"/>
  <c r="AO59"/>
  <c r="AO55"/>
  <c r="AO51"/>
  <c r="AO47"/>
  <c r="AO43"/>
  <c r="AO39"/>
  <c r="AO35"/>
  <c r="AO31"/>
  <c r="AO27"/>
  <c r="AO23"/>
  <c r="AO19"/>
  <c r="AO15"/>
  <c r="AO11"/>
  <c r="AO7"/>
  <c r="AO57"/>
  <c r="AO53"/>
  <c r="AO49"/>
  <c r="AO45"/>
  <c r="AO41"/>
  <c r="AO37"/>
  <c r="AO33"/>
  <c r="AO29"/>
  <c r="AO25"/>
  <c r="AO21"/>
  <c r="AO17"/>
  <c r="AO13"/>
  <c r="AO9"/>
  <c r="AO5"/>
  <c r="AP59"/>
  <c r="AP57"/>
  <c r="AP55"/>
  <c r="AP53"/>
  <c r="AP51"/>
  <c r="AP49"/>
  <c r="AP47"/>
  <c r="AP45"/>
  <c r="AP43"/>
  <c r="AP41"/>
  <c r="AP39"/>
  <c r="AP37"/>
  <c r="AP35"/>
  <c r="AP33"/>
  <c r="AP31"/>
  <c r="AP29"/>
  <c r="AP27"/>
  <c r="AP25"/>
  <c r="AP23"/>
  <c r="AP21"/>
  <c r="AP19"/>
  <c r="AP17"/>
  <c r="AP15"/>
  <c r="AP13"/>
  <c r="AP11"/>
  <c r="AP9"/>
  <c r="AP7"/>
  <c r="AP5"/>
  <c r="AP58"/>
  <c r="AP54"/>
  <c r="AP50"/>
  <c r="AP46"/>
  <c r="AP42"/>
  <c r="AP38"/>
  <c r="AP34"/>
  <c r="AP30"/>
  <c r="AP26"/>
  <c r="AP22"/>
  <c r="AP18"/>
  <c r="AP14"/>
  <c r="AP10"/>
  <c r="AP6"/>
  <c r="AP60"/>
  <c r="AP56"/>
  <c r="AP52"/>
  <c r="AP48"/>
  <c r="AP44"/>
  <c r="AP40"/>
  <c r="AP36"/>
  <c r="AP32"/>
  <c r="AP28"/>
  <c r="AP24"/>
  <c r="AP20"/>
  <c r="AP16"/>
  <c r="AP12"/>
  <c r="AP8"/>
  <c r="AP4"/>
  <c r="AR36" i="9" l="1"/>
  <c r="AI36"/>
  <c r="Z36"/>
  <c r="Q36"/>
  <c r="AS36" l="1"/>
  <c r="AJ36"/>
  <c r="AA36"/>
  <c r="R36"/>
</calcChain>
</file>

<file path=xl/sharedStrings.xml><?xml version="1.0" encoding="utf-8"?>
<sst xmlns="http://schemas.openxmlformats.org/spreadsheetml/2006/main" count="1240" uniqueCount="270">
  <si>
    <t>Lp.</t>
  </si>
  <si>
    <t>Wyszczególnienie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</si>
  <si>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</si>
  <si>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</si>
  <si>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</si>
  <si>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</si>
  <si>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Spłata i obsługa długu, z tego:</t>
  </si>
  <si>
    <t>Wydatki majątkowe, w tym:</t>
  </si>
  <si>
    <t>2040</t>
  </si>
  <si>
    <t>Wydatki ogółem</t>
  </si>
  <si>
    <t>Wynik budżetu</t>
  </si>
  <si>
    <t>Dochody bieżące - wydatki bieżące</t>
  </si>
  <si>
    <t>Maksymalny dopuszczalny wskaźnik spłaty z art. 243 ufp</t>
  </si>
  <si>
    <t>Relacja planowanej łącznej kwoty spłaty zobowiązań do dochodów  (bez wyłączeń)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</si>
  <si>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</si>
  <si>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</si>
  <si>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</si>
  <si>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</si>
  <si>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</si>
  <si>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</si>
  <si>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</si>
  <si>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</si>
  <si>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</si>
  <si>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</si>
  <si>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</si>
  <si>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</si>
  <si>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</si>
  <si>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>w tym: środki z UE*</t>
  </si>
  <si>
    <t>ze sprzedaży majątku</t>
  </si>
  <si>
    <t>środki z UE*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</si>
  <si>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</si>
  <si>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</si>
  <si>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</si>
  <si>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</si>
  <si>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</si>
  <si>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</si>
  <si>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</si>
  <si>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</si>
  <si>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</si>
  <si>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</si>
  <si>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</si>
  <si>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</si>
  <si>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</si>
  <si>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</si>
  <si>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</si>
  <si>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</si>
  <si>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</si>
  <si>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</si>
  <si>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</si>
  <si>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</si>
  <si>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</si>
  <si>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</si>
  <si>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</si>
  <si>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</si>
  <si>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</si>
  <si>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</si>
  <si>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</si>
  <si>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</si>
  <si>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</si>
  <si>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</si>
  <si>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</si>
  <si>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</si>
  <si>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</si>
  <si>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</si>
  <si>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</si>
  <si>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</si>
  <si>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</si>
  <si>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</si>
  <si>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</si>
  <si>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</si>
  <si>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</si>
  <si>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</si>
  <si>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</si>
  <si>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</si>
  <si>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</si>
  <si>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</si>
  <si>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</si>
  <si>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</si>
  <si>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</si>
  <si>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</si>
  <si>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</si>
  <si>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</si>
  <si>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</si>
  <si>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</si>
  <si>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</si>
  <si>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</si>
  <si>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</si>
  <si>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</si>
  <si>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</si>
  <si>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</si>
  <si>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</si>
  <si>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</si>
  <si>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</si>
  <si>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</si>
  <si>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</si>
  <si>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</si>
  <si>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</si>
  <si>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</si>
  <si>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</si>
  <si>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</si>
  <si>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</si>
  <si>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Dochody majątkowe - wydatki majątkowe</t>
  </si>
  <si>
    <t>Dochody majątkowe (1b)</t>
  </si>
  <si>
    <t>Wydatki majątkowe (10)</t>
  </si>
  <si>
    <t>Wykonanie 2009</t>
  </si>
  <si>
    <t>Wykonanie 2010</t>
  </si>
  <si>
    <t>Plan III kw. 2011</t>
  </si>
  <si>
    <t xml:space="preserve"> -</t>
  </si>
  <si>
    <t>18b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</si>
  <si>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</si>
  <si>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</si>
  <si>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</si>
  <si>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</si>
  <si>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</si>
  <si>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</si>
  <si>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</si>
  <si>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</si>
  <si>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</si>
  <si>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</si>
  <si>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</si>
  <si>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</si>
  <si>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</si>
  <si>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</si>
  <si>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</si>
  <si>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</si>
  <si>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</si>
  <si>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</si>
  <si>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</si>
  <si>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</si>
  <si>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</si>
  <si>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</si>
  <si>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</si>
  <si>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</si>
  <si>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</si>
  <si>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</si>
  <si>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</si>
  <si>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</si>
  <si>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</si>
  <si>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</si>
  <si>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Prognoza 2042</t>
  </si>
  <si>
    <t>Prognoza 2043</t>
  </si>
  <si>
    <t>Prognoza 2044</t>
  </si>
  <si>
    <t>Prognoza 2045</t>
  </si>
  <si>
    <t>Wieloletnia Prognoza Finansowa na lata 2012 -2045</t>
  </si>
  <si>
    <t xml:space="preserve"> - 2 -</t>
  </si>
  <si>
    <t xml:space="preserve"> - 4 -</t>
  </si>
  <si>
    <t xml:space="preserve"> - 6 -</t>
  </si>
  <si>
    <t xml:space="preserve"> - 8 -</t>
  </si>
  <si>
    <t xml:space="preserve"> - 10 -</t>
  </si>
  <si>
    <t xml:space="preserve"> - 12 -</t>
  </si>
  <si>
    <t>Przewodniczący Rady Miejskiej</t>
  </si>
  <si>
    <t xml:space="preserve"> mgr Jolanta Syska – Szymczak</t>
  </si>
  <si>
    <t xml:space="preserve">Wykaz przedsięwzięć do Wieloletniej Prognozy Finansowej </t>
  </si>
  <si>
    <t xml:space="preserve"> - 3 -</t>
  </si>
  <si>
    <t xml:space="preserve"> - 5 -</t>
  </si>
  <si>
    <t xml:space="preserve"> - 7 -</t>
  </si>
  <si>
    <t xml:space="preserve"> - 9 -</t>
  </si>
  <si>
    <t xml:space="preserve">Nazwa i cel </t>
  </si>
  <si>
    <t>Jednostka odpowiedzialna lub koordynująca</t>
  </si>
  <si>
    <t>Okres realizacji</t>
  </si>
  <si>
    <t>Łączne nakłady finansowe</t>
  </si>
  <si>
    <t>Limit wydatków w 2012r.</t>
  </si>
  <si>
    <t>Limit wydatków w 2013r.</t>
  </si>
  <si>
    <t>Limit wydatków w 2014r.</t>
  </si>
  <si>
    <t>Limit wydatków w 2015r.</t>
  </si>
  <si>
    <t>Limit wydatków w 2016r.</t>
  </si>
  <si>
    <t>Limit wydatków w 2017r.</t>
  </si>
  <si>
    <t>Limit wydatków w 2018r.</t>
  </si>
  <si>
    <t>Limit wydatków w 2019r.</t>
  </si>
  <si>
    <t>Limit wydatków w 2020r.</t>
  </si>
  <si>
    <t>Limit wydatków w 2021r.</t>
  </si>
  <si>
    <t>Limit wydatków w 2022r.</t>
  </si>
  <si>
    <t>Limit wydatków w 2023r.</t>
  </si>
  <si>
    <t>Limit wydatków w 2024r.</t>
  </si>
  <si>
    <t>Limit wydatków w 2025r.</t>
  </si>
  <si>
    <t>Limit wydatków w 2026r.</t>
  </si>
  <si>
    <t>Limit wydatków w 2027r.</t>
  </si>
  <si>
    <t>Limit wydatków w 2028r.</t>
  </si>
  <si>
    <t>Limit wydatków w 2029r.</t>
  </si>
  <si>
    <t>Limit wydatków w 2030r.</t>
  </si>
  <si>
    <t>Limit wydatków w 2031r.</t>
  </si>
  <si>
    <t>Limit wydatków w 2032r.</t>
  </si>
  <si>
    <t>Limit wydatków w 2033r.</t>
  </si>
  <si>
    <t>Limit wydatków w 2034r.</t>
  </si>
  <si>
    <t>Limit wydatków w 2035r.</t>
  </si>
  <si>
    <t>Limit wydatków w 2036r.</t>
  </si>
  <si>
    <t>Limit wydatków w 2037r.</t>
  </si>
  <si>
    <t>Limit wydatków w 2038r.</t>
  </si>
  <si>
    <t>Limit wydatków w 2039r.</t>
  </si>
  <si>
    <t>Limit wydatków w 2040r.</t>
  </si>
  <si>
    <t>Limit wydatków w 2041r.</t>
  </si>
  <si>
    <t>Limit wydatków w 2042r.</t>
  </si>
  <si>
    <t>Limit wydatków w 2043r.</t>
  </si>
  <si>
    <t>Limit wydatków w 2044r.</t>
  </si>
  <si>
    <t>Limit wydatków w 2045r.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</si>
  <si>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</si>
  <si>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</si>
  <si>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</si>
  <si>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</si>
  <si>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</si>
  <si>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</si>
  <si>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</si>
  <si>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</si>
  <si>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</si>
  <si>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Uczenie się przez całe życie w ramach Partnerskiego Programu Comenius - Współpraca zagraniczna i promocja miasta</t>
  </si>
  <si>
    <t>Gimnazjum nr 2</t>
  </si>
  <si>
    <t>Program Uczenie się przez całe życie Comenius - Partnerskie Projekty Szkół - Współpraca zagraniczna i promocja miasta</t>
  </si>
  <si>
    <t>Szkoła Podstawowa nr 1</t>
  </si>
  <si>
    <t xml:space="preserve"> - wydatki majątkowe </t>
  </si>
  <si>
    <t>Regionalny Program Operacyjny Województwa Mazowieckiego 2007-2013 Projekt Termy Gostynińskie - Budowa Centralnego Parku Rekreacji, Balneologii, Turystyki i Wypoczynku Termy Gostynińskie</t>
  </si>
  <si>
    <t>Urząd Miasta</t>
  </si>
  <si>
    <t>2) umowy, których realizacja w roku budżetowym i w latach następnych jest niezbędna dla zapewnienia ciągłości działania jednostki i których płatności przypadają w okresie dłuższym niż rok</t>
  </si>
  <si>
    <t>Umowa na obsługę bankową budżetu Miasta - Zapewnienie przepływów finansowych</t>
  </si>
  <si>
    <t>Umowa na konserwację oświetlenia ulicznego - Zaopatrzenie w energię elektryczną</t>
  </si>
  <si>
    <t>Umowa na utrzymanie serwisu internetowego - Promocja miasta</t>
  </si>
  <si>
    <t>Umowa na najem miejsc na słupach elektroenergetycznych w celu zamontowania kamer monitoringu miasta i przewodów sterujących - Utrzymanie porządku publicznego i bezpieczeństwa obywateli</t>
  </si>
  <si>
    <t>Umowa na konserwację elektronicznego systemu alarmowego w obiekcie Ratusza - Utrzymanie miejskich obiektów administracyjnych</t>
  </si>
  <si>
    <t>Umowa na konserwację elektronicznego systemu alarmowego w oficynie przy Ratuszu - Utrzymanie miejskich obiektów administracyjnych</t>
  </si>
  <si>
    <t>Umowa na sporządzanie analiz i opinii urbanistycznych oraz opracowań dla potrzeb składania wniosków o ustalenie lokalizacji drogi - Utrzymanie ładu przestrzennego</t>
  </si>
  <si>
    <t>Umowa na opracowanie projektu miejscowego planu zagospodarowania przestrzennego dla obszaru miasta Gostynina położonego pomiędzy ul. Żeromskiego, torami kolejowymi, ul. Czapskiegto i obwodnicą - Utrzymanie ładu przetrzennego</t>
  </si>
  <si>
    <t>Budowa budynku socjalnego przy ul. Krośniewickiej - Komunalne budownictwo mieszkaniowe</t>
  </si>
  <si>
    <t>Budowa budynku socjalnego przy ul. Kościuszkowców/ Targowa - Komunalne budownictwo mieszkaniowe</t>
  </si>
  <si>
    <t>Budowa Miejskiego Centrum Handlowo-Usługowego - Bazar wraz z otoczeniem wraz z finansowaniem inwestycji - Budowa targowiska miejskiego</t>
  </si>
  <si>
    <t>Utworzenie placu zabaw przy Szkole Podstawowej nr 1 - Edukacja publiczna, kultura fizyczna - tereny rekreacyjne i urządzenia sportowe</t>
  </si>
  <si>
    <t>3) Gwarancje i poręczenia udzielane przez jednostki samorządu terytorialnego (razem)</t>
  </si>
  <si>
    <t xml:space="preserve"> - 313.642,-zł - środki do pozyskania, ujęte w planie wydatków</t>
  </si>
  <si>
    <t xml:space="preserve"> - 20.000.000,-zł - środki UE ujęte w planie wydatków </t>
  </si>
  <si>
    <t xml:space="preserve"> - 318.423,-zł - środki do pozyskania, ujęte w planie wydatków</t>
  </si>
  <si>
    <t xml:space="preserve"> - 3.600.000,-zł - środki UE do pozyskania w 2013 roku </t>
  </si>
  <si>
    <t xml:space="preserve"> - 115.450,-zł - środki do pozyskania, ujęte w planie wydatków</t>
  </si>
  <si>
    <t>mgr Jolanta Syska - Szymczak</t>
  </si>
  <si>
    <t>Wykaz przedsięwzięć do Wieloletniej Prognozy Finansowej - zbiorczo</t>
  </si>
  <si>
    <t>Łączne limity wydatków</t>
  </si>
  <si>
    <t>Umowa na opracowanie projektu miejscowego planu zagospodarowania przestrzennego dla obszaru miasta Gostynina położonego pomiędzy ul. Żeromskiego, torami kolejowymi, ul. Czapskiego i obwodnicą - Utrzymanie ładu przetrzennego</t>
  </si>
  <si>
    <t>Wykonanie 2011</t>
  </si>
  <si>
    <t xml:space="preserve">Program Operacyjny Kapitał Ludzki "Siła tkwi w Tobie - pomożemy Ci ją wydobyć" - Pomoc społeczna </t>
  </si>
  <si>
    <t>Miejski Ośrodek Pomocy Społecznej</t>
  </si>
  <si>
    <t>MOPS</t>
  </si>
  <si>
    <t>Zbiorczo przedsięwzięcia, programy, projekty i zadania do Wieloletniej Prognozy Finansowej</t>
  </si>
  <si>
    <t>Zbiorczo przedsięwzięcia</t>
  </si>
  <si>
    <t>Rok</t>
  </si>
  <si>
    <t>Zbiorczo</t>
  </si>
  <si>
    <t>Razem</t>
  </si>
  <si>
    <t>wydatki bieżące</t>
  </si>
  <si>
    <t>wydatki majątkowe</t>
  </si>
  <si>
    <t>łączne nakłady finansowe</t>
  </si>
  <si>
    <t>limit zobowiązań</t>
  </si>
  <si>
    <t>3) gwarancje i poręczenia udzielane przez jst (wydatki bieżące)</t>
  </si>
  <si>
    <t>Zbiorczo programy, projekty lub zadania</t>
  </si>
  <si>
    <t>b) programy, projekty lub zadania związane z umowami partnerstwa publiczno-prywatnego; (razem)</t>
  </si>
  <si>
    <t>c) programy, projekty lub zadania pozostałe (inne niż wymienione w lit.a i b) (razem)</t>
  </si>
  <si>
    <t>Umowa – poręczenie Miejskiemu Towarzystwu Budownictwa Społecznego w Gostyninie długoterminowego kredytu na budowę 2 budynków mieszkalnych przy ul. Czapskiego (Mazowieckiej) - Komunalne budownictwo mieszkaniowe</t>
  </si>
  <si>
    <t>Umowa – poręczenie Miejskiemu Towarzystwu Budownictwa Społecznego w Gostyninie długoterminowego kredytu na budowę 4 budynków mieszkalnych przy ul. Zazamcze (Targowa) - Komunalne budownictwo mieszkaniowe</t>
  </si>
  <si>
    <t>Miejski Ośrodek Pomocy Społeczn.</t>
  </si>
  <si>
    <t>w tym: środki z UE</t>
  </si>
  <si>
    <t>środki z UE</t>
  </si>
  <si>
    <t>zmieniającej uchwałę w sprawie Wieloletniej Prognozy Finansowej na lata 2012-2045</t>
  </si>
  <si>
    <t>Zadłużenie/dochody ogółem - max 60% z art. 170 sufp (bez wyłączeń, z wykupem wierzytelności) (13/1)</t>
  </si>
  <si>
    <t>Zadłużenie/dochody ogółem - max 60% z art. 170 sufp (po uwzględnieniu wyłączeń, z wykupem wierzytelności) (13-14)/1</t>
  </si>
  <si>
    <t>Zadłużenie/dochody ogółem - max 60% z art. 170 sufp (bez wykupu wierzytelności, po uwzględnieniu wyłączeń) (13-13a-14)/1</t>
  </si>
  <si>
    <t>Planowana łączna kwota spłaty zobowiązań/dochody ogółem - max 15% z art. 169 sufp (bez wyłączeń) (7a+7b1+2c)/1</t>
  </si>
  <si>
    <t>Planowana łączna kwota spłaty zobowiązań/dochody ogółem - max 15% z art. 169 sufp (po uwzględnieniu wyłączeń) (7a+7b1+2c-2d-7a1)1</t>
  </si>
  <si>
    <t>Relacja (Db-Wb+Dsm)/Do, o której mowa w art. 243 w danym roku (1a-24+1c)/1</t>
  </si>
  <si>
    <t>Maksymalny dopuszczalny wskaźnik spłaty z art. 243 ufp (średnia 20 z 3 lat)</t>
  </si>
  <si>
    <t>Relacja planowanej łącznej kwoty spłaty zobowiązań do dochodów (bez wyłączeń) (7a+7b1+2c+15)/1</t>
  </si>
  <si>
    <t>Relacja planowanej łącznej kwoty spłaty zobowiązań do dochodów (po uwzględnieniu wyłączeń) (7a+7b1+2c+15-2d-7a1)/1</t>
  </si>
  <si>
    <r>
      <t xml:space="preserve">Załącznik nr 2 do uchwały nr </t>
    </r>
    <r>
      <rPr>
        <b/>
        <sz val="9"/>
        <color theme="1"/>
        <rFont val="Arial"/>
        <family val="2"/>
        <charset val="238"/>
      </rPr>
      <t>110/XXI/2012</t>
    </r>
    <r>
      <rPr>
        <sz val="9"/>
        <color theme="1"/>
        <rFont val="Arial"/>
        <family val="2"/>
        <charset val="238"/>
      </rPr>
      <t xml:space="preserve"> Rady Miejskiej w Gostyninie z dnia </t>
    </r>
    <r>
      <rPr>
        <b/>
        <sz val="9"/>
        <color theme="1"/>
        <rFont val="Arial"/>
        <family val="2"/>
        <charset val="238"/>
      </rPr>
      <t>29 marca 2012 roku</t>
    </r>
  </si>
  <si>
    <r>
      <t xml:space="preserve">Załącznik nr 3 do uchwały nr </t>
    </r>
    <r>
      <rPr>
        <b/>
        <sz val="9"/>
        <color theme="1"/>
        <rFont val="Arial"/>
        <family val="2"/>
        <charset val="238"/>
      </rPr>
      <t>110/XXI/2012</t>
    </r>
    <r>
      <rPr>
        <sz val="9"/>
        <color theme="1"/>
        <rFont val="Arial"/>
        <family val="2"/>
        <charset val="238"/>
      </rPr>
      <t xml:space="preserve"> Rady Miejskiej w Gostyninie z dnia </t>
    </r>
    <r>
      <rPr>
        <b/>
        <sz val="9"/>
        <color theme="1"/>
        <rFont val="Arial"/>
        <family val="2"/>
        <charset val="238"/>
      </rPr>
      <t>29 marca 2012 roku</t>
    </r>
  </si>
  <si>
    <r>
      <t xml:space="preserve">Załącznik nr 4 do uchwały nr </t>
    </r>
    <r>
      <rPr>
        <b/>
        <sz val="9"/>
        <color theme="1"/>
        <rFont val="Arial"/>
        <family val="2"/>
        <charset val="238"/>
      </rPr>
      <t>110/XXI/2012</t>
    </r>
    <r>
      <rPr>
        <sz val="9"/>
        <color theme="1"/>
        <rFont val="Arial"/>
        <family val="2"/>
        <charset val="238"/>
      </rPr>
      <t xml:space="preserve"> Rady Miejskiej w Gostyninie z dnia </t>
    </r>
    <r>
      <rPr>
        <b/>
        <sz val="9"/>
        <color theme="1"/>
        <rFont val="Arial"/>
        <family val="2"/>
        <charset val="238"/>
      </rPr>
      <t>29 marca 2012 roku</t>
    </r>
  </si>
  <si>
    <r>
      <t xml:space="preserve">Załącznik nr 1 do uchwały nr </t>
    </r>
    <r>
      <rPr>
        <b/>
        <sz val="9"/>
        <rFont val="Arial"/>
        <family val="2"/>
        <charset val="238"/>
      </rPr>
      <t>110/XXI/2012</t>
    </r>
    <r>
      <rPr>
        <sz val="9"/>
        <rFont val="Arial"/>
        <family val="2"/>
        <charset val="238"/>
      </rPr>
      <t xml:space="preserve"> Rady Miejskiej w Gostyninie z dnia </t>
    </r>
    <r>
      <rPr>
        <b/>
        <sz val="9"/>
        <rFont val="Arial"/>
        <family val="2"/>
        <charset val="238"/>
      </rPr>
      <t>29 marca 2012 roku</t>
    </r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</si>
</sst>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3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indexed="9"/>
        <bgColor indexed="0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6">
    <xf numFmtId="0" fontId="0" fillId="0" borderId="0" xfId="0"/>
    <xf numFmtId="0" fontId="3" fillId="0" borderId="1" xfId="5" applyFont="1" applyBorder="1" applyAlignment="1">
      <alignment vertical="center" wrapText="1"/>
    </xf>
    <xf numFmtId="0" fontId="3" fillId="0" borderId="1" xfId="5" quotePrefix="1" applyFont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49" fontId="4" fillId="2" borderId="2" xfId="5" applyNumberFormat="1" applyFont="1" applyFill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0" fontId="4" fillId="3" borderId="4" xfId="5" applyFont="1" applyFill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2" borderId="6" xfId="5" applyFont="1" applyFill="1" applyBorder="1" applyAlignment="1">
      <alignment horizontal="center" vertical="center"/>
    </xf>
    <xf numFmtId="49" fontId="4" fillId="2" borderId="7" xfId="5" applyNumberFormat="1" applyFont="1" applyFill="1" applyBorder="1" applyAlignment="1">
      <alignment horizontal="center"/>
    </xf>
    <xf numFmtId="49" fontId="4" fillId="2" borderId="8" xfId="5" applyNumberFormat="1" applyFont="1" applyFill="1" applyBorder="1" applyAlignment="1">
      <alignment horizontal="center"/>
    </xf>
    <xf numFmtId="0" fontId="3" fillId="4" borderId="1" xfId="5" applyFont="1" applyFill="1" applyBorder="1" applyAlignment="1">
      <alignment vertical="center" wrapText="1"/>
    </xf>
    <xf numFmtId="49" fontId="4" fillId="2" borderId="9" xfId="5" applyNumberFormat="1" applyFont="1" applyFill="1" applyBorder="1" applyAlignment="1">
      <alignment horizontal="center"/>
    </xf>
    <xf numFmtId="164" fontId="3" fillId="5" borderId="3" xfId="5" applyNumberFormat="1" applyFont="1" applyFill="1" applyBorder="1" applyAlignment="1" applyProtection="1">
      <alignment vertical="center"/>
      <protection locked="0"/>
    </xf>
    <xf numFmtId="164" fontId="3" fillId="5" borderId="10" xfId="5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3" borderId="1" xfId="5" applyFont="1" applyFill="1" applyBorder="1" applyAlignment="1">
      <alignment vertical="center" wrapText="1"/>
    </xf>
    <xf numFmtId="0" fontId="4" fillId="0" borderId="1" xfId="5" applyFont="1" applyBorder="1" applyAlignment="1">
      <alignment vertical="center" wrapText="1"/>
    </xf>
    <xf numFmtId="0" fontId="4" fillId="4" borderId="1" xfId="5" applyFont="1" applyFill="1" applyBorder="1" applyAlignment="1">
      <alignment vertical="center" wrapText="1"/>
    </xf>
    <xf numFmtId="49" fontId="4" fillId="2" borderId="12" xfId="5" applyNumberFormat="1" applyFont="1" applyFill="1" applyBorder="1" applyAlignment="1">
      <alignment vertical="center" wrapText="1"/>
    </xf>
    <xf numFmtId="0" fontId="4" fillId="2" borderId="13" xfId="5" applyFont="1" applyFill="1" applyBorder="1" applyAlignment="1">
      <alignment vertical="center" wrapText="1"/>
    </xf>
    <xf numFmtId="0" fontId="9" fillId="3" borderId="1" xfId="5" applyFont="1" applyFill="1" applyBorder="1" applyAlignment="1">
      <alignment vertical="center" wrapText="1"/>
    </xf>
    <xf numFmtId="0" fontId="9" fillId="3" borderId="14" xfId="5" applyFont="1" applyFill="1" applyBorder="1" applyAlignment="1">
      <alignment vertical="center" wrapText="1"/>
    </xf>
    <xf numFmtId="0" fontId="4" fillId="4" borderId="13" xfId="5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3" fillId="0" borderId="0" xfId="0" applyFont="1"/>
    <xf numFmtId="3" fontId="0" fillId="0" borderId="0" xfId="0" applyNumberFormat="1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5" fillId="6" borderId="31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3" fontId="15" fillId="6" borderId="25" xfId="0" applyNumberFormat="1" applyFont="1" applyFill="1" applyBorder="1" applyAlignment="1">
      <alignment horizontal="right" vertical="center"/>
    </xf>
    <xf numFmtId="3" fontId="15" fillId="6" borderId="25" xfId="0" applyNumberFormat="1" applyFont="1" applyFill="1" applyBorder="1" applyAlignment="1">
      <alignment vertical="center"/>
    </xf>
    <xf numFmtId="3" fontId="15" fillId="6" borderId="27" xfId="0" applyNumberFormat="1" applyFont="1" applyFill="1" applyBorder="1" applyAlignment="1">
      <alignment horizontal="right" vertical="center" wrapText="1"/>
    </xf>
    <xf numFmtId="3" fontId="15" fillId="0" borderId="27" xfId="0" applyNumberFormat="1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center" vertical="center"/>
    </xf>
    <xf numFmtId="3" fontId="15" fillId="6" borderId="25" xfId="0" applyNumberFormat="1" applyFont="1" applyFill="1" applyBorder="1" applyAlignment="1">
      <alignment horizontal="right" vertical="center"/>
    </xf>
    <xf numFmtId="3" fontId="15" fillId="6" borderId="28" xfId="0" applyNumberFormat="1" applyFont="1" applyFill="1" applyBorder="1" applyAlignment="1">
      <alignment horizontal="right" vertical="center"/>
    </xf>
    <xf numFmtId="3" fontId="15" fillId="6" borderId="27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15" fillId="6" borderId="26" xfId="0" applyFont="1" applyFill="1" applyBorder="1" applyAlignment="1">
      <alignment vertical="center" wrapText="1"/>
    </xf>
    <xf numFmtId="3" fontId="15" fillId="6" borderId="32" xfId="0" applyNumberFormat="1" applyFont="1" applyFill="1" applyBorder="1" applyAlignment="1">
      <alignment horizontal="right" vertical="center" wrapText="1"/>
    </xf>
    <xf numFmtId="0" fontId="15" fillId="6" borderId="33" xfId="0" applyFont="1" applyFill="1" applyBorder="1" applyAlignment="1">
      <alignment vertical="center" wrapText="1"/>
    </xf>
    <xf numFmtId="0" fontId="15" fillId="6" borderId="34" xfId="0" applyFont="1" applyFill="1" applyBorder="1" applyAlignment="1">
      <alignment horizontal="center" vertical="center"/>
    </xf>
    <xf numFmtId="3" fontId="15" fillId="6" borderId="34" xfId="0" applyNumberFormat="1" applyFont="1" applyFill="1" applyBorder="1" applyAlignment="1">
      <alignment horizontal="right" vertical="center"/>
    </xf>
    <xf numFmtId="3" fontId="15" fillId="6" borderId="34" xfId="0" applyNumberFormat="1" applyFont="1" applyFill="1" applyBorder="1" applyAlignment="1">
      <alignment vertical="center"/>
    </xf>
    <xf numFmtId="3" fontId="15" fillId="6" borderId="36" xfId="0" applyNumberFormat="1" applyFont="1" applyFill="1" applyBorder="1" applyAlignment="1">
      <alignment horizontal="right" vertical="center" wrapText="1"/>
    </xf>
    <xf numFmtId="3" fontId="15" fillId="0" borderId="37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6" borderId="38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horizontal="center" vertical="center"/>
    </xf>
    <xf numFmtId="3" fontId="15" fillId="6" borderId="39" xfId="0" applyNumberFormat="1" applyFont="1" applyFill="1" applyBorder="1" applyAlignment="1">
      <alignment horizontal="right" vertical="center" wrapText="1"/>
    </xf>
    <xf numFmtId="3" fontId="15" fillId="6" borderId="4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5" fillId="6" borderId="41" xfId="0" applyNumberFormat="1" applyFont="1" applyFill="1" applyBorder="1" applyAlignment="1">
      <alignment vertical="center"/>
    </xf>
    <xf numFmtId="3" fontId="15" fillId="6" borderId="29" xfId="0" applyNumberFormat="1" applyFont="1" applyFill="1" applyBorder="1" applyAlignment="1">
      <alignment vertical="center"/>
    </xf>
    <xf numFmtId="0" fontId="15" fillId="6" borderId="30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/>
    </xf>
    <xf numFmtId="3" fontId="15" fillId="6" borderId="31" xfId="0" applyNumberFormat="1" applyFont="1" applyFill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0" fontId="0" fillId="0" borderId="0" xfId="0" applyFont="1" applyFill="1"/>
    <xf numFmtId="0" fontId="14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Fill="1" applyBorder="1"/>
    <xf numFmtId="0" fontId="19" fillId="0" borderId="0" xfId="0" applyFont="1" applyFill="1"/>
    <xf numFmtId="0" fontId="2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12" fillId="0" borderId="0" xfId="0" applyFont="1" applyAlignment="1">
      <alignment horizontal="center"/>
    </xf>
    <xf numFmtId="3" fontId="15" fillId="6" borderId="31" xfId="0" applyNumberFormat="1" applyFont="1" applyFill="1" applyBorder="1" applyAlignment="1">
      <alignment vertical="center"/>
    </xf>
    <xf numFmtId="0" fontId="15" fillId="6" borderId="30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/>
    </xf>
    <xf numFmtId="3" fontId="15" fillId="6" borderId="31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/>
    <xf numFmtId="0" fontId="21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>
      <alignment horizontal="center"/>
    </xf>
    <xf numFmtId="4" fontId="15" fillId="0" borderId="11" xfId="0" applyNumberFormat="1" applyFont="1" applyBorder="1"/>
    <xf numFmtId="0" fontId="15" fillId="0" borderId="0" xfId="0" applyFont="1"/>
    <xf numFmtId="0" fontId="0" fillId="0" borderId="0" xfId="0" applyBorder="1"/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2" fillId="0" borderId="0" xfId="0" applyFont="1"/>
    <xf numFmtId="4" fontId="0" fillId="0" borderId="0" xfId="0" applyNumberFormat="1"/>
    <xf numFmtId="0" fontId="0" fillId="0" borderId="0" xfId="0" applyAlignment="1">
      <alignment vertical="center"/>
    </xf>
    <xf numFmtId="0" fontId="15" fillId="0" borderId="11" xfId="0" applyFont="1" applyBorder="1"/>
    <xf numFmtId="3" fontId="0" fillId="0" borderId="0" xfId="0" applyNumberFormat="1"/>
    <xf numFmtId="165" fontId="16" fillId="0" borderId="15" xfId="5" applyNumberFormat="1" applyFont="1" applyFill="1" applyBorder="1" applyAlignment="1" applyProtection="1">
      <alignment vertical="center"/>
      <protection locked="0"/>
    </xf>
    <xf numFmtId="165" fontId="15" fillId="0" borderId="16" xfId="5" applyNumberFormat="1" applyFont="1" applyFill="1" applyBorder="1" applyAlignment="1" applyProtection="1">
      <alignment vertical="center"/>
      <protection locked="0"/>
    </xf>
    <xf numFmtId="165" fontId="15" fillId="0" borderId="17" xfId="5" applyNumberFormat="1" applyFont="1" applyFill="1" applyBorder="1" applyAlignment="1" applyProtection="1">
      <alignment vertical="center"/>
      <protection locked="0"/>
    </xf>
    <xf numFmtId="0" fontId="15" fillId="0" borderId="16" xfId="5" applyFont="1" applyFill="1" applyBorder="1" applyAlignment="1">
      <alignment horizontal="left" vertical="center" wrapText="1" indent="2"/>
    </xf>
    <xf numFmtId="165" fontId="16" fillId="0" borderId="11" xfId="5" applyNumberFormat="1" applyFont="1" applyFill="1" applyBorder="1" applyAlignment="1" applyProtection="1">
      <alignment vertical="center"/>
      <protection locked="0"/>
    </xf>
    <xf numFmtId="0" fontId="15" fillId="0" borderId="16" xfId="5" applyFont="1" applyFill="1" applyBorder="1" applyAlignment="1">
      <alignment horizontal="left" vertical="center" wrapText="1" indent="1"/>
    </xf>
    <xf numFmtId="0" fontId="16" fillId="0" borderId="11" xfId="5" applyFont="1" applyFill="1" applyBorder="1" applyAlignment="1">
      <alignment vertical="center" wrapText="1"/>
    </xf>
    <xf numFmtId="165" fontId="16" fillId="0" borderId="15" xfId="5" applyNumberFormat="1" applyFont="1" applyFill="1" applyBorder="1" applyAlignment="1">
      <alignment vertical="center"/>
    </xf>
    <xf numFmtId="165" fontId="15" fillId="0" borderId="17" xfId="5" applyNumberFormat="1" applyFont="1" applyFill="1" applyBorder="1" applyAlignment="1">
      <alignment vertical="center"/>
    </xf>
    <xf numFmtId="165" fontId="16" fillId="0" borderId="15" xfId="5" applyNumberFormat="1" applyFont="1" applyFill="1" applyBorder="1" applyAlignment="1">
      <alignment vertical="center" wrapText="1"/>
    </xf>
    <xf numFmtId="0" fontId="16" fillId="0" borderId="11" xfId="5" applyFont="1" applyFill="1" applyBorder="1" applyAlignment="1">
      <alignment horizontal="center" vertical="center"/>
    </xf>
    <xf numFmtId="0" fontId="16" fillId="0" borderId="15" xfId="5" applyFont="1" applyFill="1" applyBorder="1" applyAlignment="1">
      <alignment horizontal="center" vertical="center"/>
    </xf>
    <xf numFmtId="0" fontId="16" fillId="0" borderId="15" xfId="5" applyFont="1" applyFill="1" applyBorder="1" applyAlignment="1">
      <alignment vertical="center" wrapText="1"/>
    </xf>
    <xf numFmtId="0" fontId="15" fillId="0" borderId="17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left" vertical="center" wrapText="1" indent="1"/>
    </xf>
    <xf numFmtId="0" fontId="15" fillId="0" borderId="15" xfId="5" applyFont="1" applyFill="1" applyBorder="1" applyAlignment="1">
      <alignment horizontal="center" vertical="center"/>
    </xf>
    <xf numFmtId="10" fontId="15" fillId="0" borderId="15" xfId="7" applyNumberFormat="1" applyFont="1" applyFill="1" applyBorder="1" applyAlignment="1">
      <alignment vertical="center"/>
    </xf>
    <xf numFmtId="0" fontId="15" fillId="0" borderId="16" xfId="5" applyFont="1" applyFill="1" applyBorder="1" applyAlignment="1">
      <alignment horizontal="center" vertical="center"/>
    </xf>
    <xf numFmtId="10" fontId="15" fillId="0" borderId="16" xfId="7" applyNumberFormat="1" applyFont="1" applyFill="1" applyBorder="1" applyAlignment="1">
      <alignment vertical="center"/>
    </xf>
    <xf numFmtId="0" fontId="15" fillId="0" borderId="16" xfId="5" applyFont="1" applyFill="1" applyBorder="1" applyAlignment="1">
      <alignment vertical="center" wrapText="1"/>
    </xf>
    <xf numFmtId="0" fontId="15" fillId="0" borderId="17" xfId="5" applyFont="1" applyFill="1" applyBorder="1" applyAlignment="1">
      <alignment horizontal="left" vertical="center" wrapText="1"/>
    </xf>
    <xf numFmtId="0" fontId="16" fillId="0" borderId="16" xfId="5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top" wrapText="1" indent="2"/>
    </xf>
    <xf numFmtId="165" fontId="16" fillId="0" borderId="17" xfId="5" applyNumberFormat="1" applyFont="1" applyFill="1" applyBorder="1" applyAlignment="1" applyProtection="1">
      <alignment vertical="center"/>
      <protection locked="0"/>
    </xf>
    <xf numFmtId="165" fontId="16" fillId="0" borderId="17" xfId="5" applyNumberFormat="1" applyFont="1" applyFill="1" applyBorder="1" applyAlignment="1">
      <alignment vertical="center"/>
    </xf>
    <xf numFmtId="0" fontId="24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 inden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top" wrapText="1" indent="1"/>
    </xf>
    <xf numFmtId="165" fontId="16" fillId="0" borderId="16" xfId="5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top" wrapText="1" indent="2"/>
    </xf>
    <xf numFmtId="0" fontId="16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3" fontId="15" fillId="6" borderId="61" xfId="0" applyNumberFormat="1" applyFont="1" applyFill="1" applyBorder="1" applyAlignment="1">
      <alignment vertical="center"/>
    </xf>
    <xf numFmtId="0" fontId="0" fillId="0" borderId="0" xfId="0" applyFont="1" applyBorder="1" applyAlignment="1"/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5" fillId="6" borderId="30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3" fontId="15" fillId="6" borderId="65" xfId="0" applyNumberFormat="1" applyFont="1" applyFill="1" applyBorder="1" applyAlignment="1">
      <alignment vertical="center"/>
    </xf>
    <xf numFmtId="3" fontId="15" fillId="6" borderId="66" xfId="0" applyNumberFormat="1" applyFont="1" applyFill="1" applyBorder="1" applyAlignment="1">
      <alignment vertical="center"/>
    </xf>
    <xf numFmtId="3" fontId="16" fillId="0" borderId="64" xfId="0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15" fillId="0" borderId="29" xfId="0" applyNumberFormat="1" applyFont="1" applyBorder="1" applyAlignment="1">
      <alignment horizontal="right" vertical="center" wrapText="1"/>
    </xf>
    <xf numFmtId="3" fontId="15" fillId="6" borderId="29" xfId="0" applyNumberFormat="1" applyFont="1" applyFill="1" applyBorder="1" applyAlignment="1">
      <alignment horizontal="right" vertical="center" wrapText="1"/>
    </xf>
    <xf numFmtId="3" fontId="15" fillId="6" borderId="29" xfId="0" applyNumberFormat="1" applyFont="1" applyFill="1" applyBorder="1" applyAlignment="1">
      <alignment horizontal="right" vertical="center"/>
    </xf>
    <xf numFmtId="3" fontId="15" fillId="6" borderId="65" xfId="0" applyNumberFormat="1" applyFont="1" applyFill="1" applyBorder="1" applyAlignment="1">
      <alignment horizontal="right" vertical="center" wrapText="1"/>
    </xf>
    <xf numFmtId="3" fontId="15" fillId="6" borderId="66" xfId="0" applyNumberFormat="1" applyFont="1" applyFill="1" applyBorder="1" applyAlignment="1">
      <alignment horizontal="right" vertical="center" wrapText="1"/>
    </xf>
    <xf numFmtId="0" fontId="15" fillId="6" borderId="72" xfId="0" applyFont="1" applyFill="1" applyBorder="1" applyAlignment="1">
      <alignment vertical="center" wrapText="1"/>
    </xf>
    <xf numFmtId="0" fontId="15" fillId="6" borderId="71" xfId="0" applyFont="1" applyFill="1" applyBorder="1" applyAlignment="1">
      <alignment vertical="center" wrapText="1"/>
    </xf>
    <xf numFmtId="0" fontId="15" fillId="6" borderId="73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/>
    </xf>
    <xf numFmtId="0" fontId="15" fillId="6" borderId="71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horizontal="center" vertical="center"/>
    </xf>
    <xf numFmtId="0" fontId="15" fillId="6" borderId="72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/>
    </xf>
    <xf numFmtId="3" fontId="15" fillId="6" borderId="25" xfId="0" applyNumberFormat="1" applyFont="1" applyFill="1" applyBorder="1" applyAlignment="1">
      <alignment horizontal="right" vertical="center"/>
    </xf>
    <xf numFmtId="0" fontId="15" fillId="6" borderId="30" xfId="0" applyFont="1" applyFill="1" applyBorder="1" applyAlignment="1">
      <alignment vertical="center" wrapText="1"/>
    </xf>
    <xf numFmtId="0" fontId="15" fillId="6" borderId="26" xfId="0" applyFont="1" applyFill="1" applyBorder="1" applyAlignment="1">
      <alignment vertical="center" wrapText="1"/>
    </xf>
    <xf numFmtId="3" fontId="15" fillId="0" borderId="25" xfId="0" applyNumberFormat="1" applyFont="1" applyFill="1" applyBorder="1" applyAlignment="1">
      <alignment horizontal="right" vertical="center"/>
    </xf>
    <xf numFmtId="3" fontId="16" fillId="0" borderId="25" xfId="0" applyNumberFormat="1" applyFont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49" fontId="16" fillId="0" borderId="11" xfId="5" applyNumberFormat="1" applyFont="1" applyFill="1" applyBorder="1" applyAlignment="1">
      <alignment horizontal="center" vertical="center"/>
    </xf>
    <xf numFmtId="49" fontId="16" fillId="0" borderId="11" xfId="5" applyNumberFormat="1" applyFont="1" applyFill="1" applyBorder="1" applyAlignment="1">
      <alignment horizontal="center" vertical="center" wrapText="1"/>
    </xf>
    <xf numFmtId="49" fontId="16" fillId="0" borderId="11" xfId="5" applyNumberFormat="1" applyFont="1" applyFill="1" applyBorder="1" applyAlignment="1">
      <alignment horizontal="center"/>
    </xf>
    <xf numFmtId="0" fontId="15" fillId="0" borderId="16" xfId="5" quotePrefix="1" applyFont="1" applyFill="1" applyBorder="1" applyAlignment="1">
      <alignment horizontal="left" vertical="center" wrapText="1" indent="1"/>
    </xf>
    <xf numFmtId="0" fontId="15" fillId="0" borderId="17" xfId="5" applyFont="1" applyFill="1" applyBorder="1" applyAlignment="1">
      <alignment horizontal="left" vertical="center" wrapText="1" indent="2"/>
    </xf>
    <xf numFmtId="165" fontId="16" fillId="0" borderId="11" xfId="5" applyNumberFormat="1" applyFont="1" applyFill="1" applyBorder="1" applyAlignment="1" applyProtection="1">
      <alignment vertical="center"/>
    </xf>
    <xf numFmtId="165" fontId="16" fillId="0" borderId="11" xfId="5" applyNumberFormat="1" applyFont="1" applyFill="1" applyBorder="1" applyAlignment="1">
      <alignment vertical="center"/>
    </xf>
    <xf numFmtId="0" fontId="15" fillId="0" borderId="15" xfId="5" applyFont="1" applyFill="1" applyBorder="1" applyAlignment="1">
      <alignment vertical="center" wrapText="1"/>
    </xf>
    <xf numFmtId="10" fontId="15" fillId="0" borderId="16" xfId="7" applyNumberFormat="1" applyFont="1" applyFill="1" applyBorder="1" applyAlignment="1">
      <alignment horizontal="center" vertical="center"/>
    </xf>
    <xf numFmtId="0" fontId="16" fillId="0" borderId="16" xfId="5" applyFont="1" applyFill="1" applyBorder="1" applyAlignment="1">
      <alignment vertical="center" wrapText="1"/>
    </xf>
    <xf numFmtId="0" fontId="16" fillId="0" borderId="16" xfId="6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6" fillId="0" borderId="17" xfId="6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top" wrapText="1" indent="1"/>
    </xf>
    <xf numFmtId="165" fontId="16" fillId="0" borderId="18" xfId="5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vertical="center"/>
    </xf>
    <xf numFmtId="0" fontId="15" fillId="6" borderId="55" xfId="0" applyFont="1" applyFill="1" applyBorder="1" applyAlignment="1">
      <alignment vertical="center" wrapText="1"/>
    </xf>
    <xf numFmtId="0" fontId="15" fillId="6" borderId="56" xfId="0" applyFont="1" applyFill="1" applyBorder="1" applyAlignment="1">
      <alignment horizontal="center" vertical="center"/>
    </xf>
    <xf numFmtId="3" fontId="15" fillId="6" borderId="56" xfId="0" applyNumberFormat="1" applyFont="1" applyFill="1" applyBorder="1" applyAlignment="1">
      <alignment horizontal="right" vertical="center"/>
    </xf>
    <xf numFmtId="3" fontId="15" fillId="6" borderId="56" xfId="0" applyNumberFormat="1" applyFont="1" applyFill="1" applyBorder="1" applyAlignment="1">
      <alignment vertical="center"/>
    </xf>
    <xf numFmtId="3" fontId="15" fillId="6" borderId="67" xfId="0" applyNumberFormat="1" applyFont="1" applyFill="1" applyBorder="1" applyAlignment="1">
      <alignment vertical="center"/>
    </xf>
    <xf numFmtId="0" fontId="15" fillId="6" borderId="74" xfId="0" applyFont="1" applyFill="1" applyBorder="1" applyAlignment="1">
      <alignment vertical="center" wrapText="1"/>
    </xf>
    <xf numFmtId="3" fontId="15" fillId="6" borderId="67" xfId="0" applyNumberFormat="1" applyFont="1" applyFill="1" applyBorder="1" applyAlignment="1">
      <alignment horizontal="right" vertical="center" wrapText="1"/>
    </xf>
    <xf numFmtId="3" fontId="15" fillId="6" borderId="57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0" fontId="15" fillId="0" borderId="0" xfId="5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15" fillId="0" borderId="19" xfId="5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2" fontId="17" fillId="0" borderId="62" xfId="0" applyNumberFormat="1" applyFont="1" applyBorder="1" applyAlignment="1">
      <alignment horizontal="center" vertical="center" wrapText="1"/>
    </xf>
    <xf numFmtId="2" fontId="17" fillId="0" borderId="63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2" fontId="17" fillId="0" borderId="59" xfId="0" applyNumberFormat="1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62" xfId="9" applyNumberFormat="1" applyFont="1" applyFill="1" applyBorder="1" applyAlignment="1" applyProtection="1">
      <alignment horizontal="center" vertical="center" wrapText="1"/>
    </xf>
    <xf numFmtId="0" fontId="16" fillId="0" borderId="63" xfId="9" applyNumberFormat="1" applyFont="1" applyFill="1" applyBorder="1" applyAlignment="1" applyProtection="1">
      <alignment horizontal="center" vertical="center" wrapText="1"/>
    </xf>
    <xf numFmtId="0" fontId="16" fillId="0" borderId="38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3" fontId="16" fillId="0" borderId="28" xfId="0" applyNumberFormat="1" applyFont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" fontId="16" fillId="0" borderId="64" xfId="0" applyNumberFormat="1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0" fontId="16" fillId="0" borderId="70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71" xfId="0" applyFont="1" applyFill="1" applyBorder="1" applyAlignment="1">
      <alignment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vertical="center"/>
    </xf>
    <xf numFmtId="3" fontId="16" fillId="0" borderId="25" xfId="0" applyNumberFormat="1" applyFont="1" applyFill="1" applyBorder="1" applyAlignment="1">
      <alignment horizontal="right" vertical="center" wrapText="1"/>
    </xf>
    <xf numFmtId="3" fontId="16" fillId="0" borderId="29" xfId="0" applyNumberFormat="1" applyFont="1" applyFill="1" applyBorder="1" applyAlignment="1">
      <alignment horizontal="right" vertical="center" wrapText="1"/>
    </xf>
    <xf numFmtId="0" fontId="16" fillId="0" borderId="7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 wrapText="1"/>
    </xf>
    <xf numFmtId="0" fontId="16" fillId="0" borderId="71" xfId="0" applyFont="1" applyFill="1" applyBorder="1" applyAlignment="1">
      <alignment vertical="center" wrapText="1"/>
    </xf>
    <xf numFmtId="0" fontId="15" fillId="6" borderId="26" xfId="0" applyFont="1" applyFill="1" applyBorder="1" applyAlignment="1">
      <alignment vertical="center" wrapText="1"/>
    </xf>
    <xf numFmtId="0" fontId="15" fillId="6" borderId="25" xfId="0" applyFont="1" applyFill="1" applyBorder="1" applyAlignment="1">
      <alignment horizontal="center" vertical="center"/>
    </xf>
    <xf numFmtId="3" fontId="15" fillId="6" borderId="25" xfId="0" applyNumberFormat="1" applyFont="1" applyFill="1" applyBorder="1" applyAlignment="1">
      <alignment horizontal="right" vertical="center"/>
    </xf>
    <xf numFmtId="3" fontId="15" fillId="6" borderId="29" xfId="0" applyNumberFormat="1" applyFont="1" applyFill="1" applyBorder="1" applyAlignment="1">
      <alignment horizontal="right" vertical="center"/>
    </xf>
    <xf numFmtId="0" fontId="15" fillId="6" borderId="71" xfId="0" applyFont="1" applyFill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3" fontId="16" fillId="0" borderId="25" xfId="0" applyNumberFormat="1" applyFont="1" applyBorder="1" applyAlignment="1" applyProtection="1">
      <alignment horizontal="right" vertical="center" wrapText="1"/>
      <protection locked="0"/>
    </xf>
    <xf numFmtId="0" fontId="14" fillId="0" borderId="71" xfId="0" applyFont="1" applyBorder="1" applyAlignment="1">
      <alignment vertical="center" wrapText="1"/>
    </xf>
    <xf numFmtId="0" fontId="15" fillId="6" borderId="30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15" fillId="6" borderId="31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3" fontId="15" fillId="6" borderId="31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15" fillId="6" borderId="65" xfId="0" applyNumberFormat="1" applyFont="1" applyFill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15" fillId="6" borderId="72" xfId="0" applyFont="1" applyFill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70" xfId="0" applyFont="1" applyBorder="1" applyAlignment="1">
      <alignment vertical="center" wrapText="1"/>
    </xf>
    <xf numFmtId="3" fontId="15" fillId="6" borderId="42" xfId="0" applyNumberFormat="1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0" fontId="16" fillId="0" borderId="24" xfId="9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vertical="top" wrapText="1"/>
    </xf>
    <xf numFmtId="0" fontId="25" fillId="0" borderId="4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15" fillId="7" borderId="4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0" xfId="0" applyFont="1" applyBorder="1" applyAlignment="1">
      <alignment vertical="center"/>
    </xf>
    <xf numFmtId="49" fontId="15" fillId="7" borderId="51" xfId="0" applyNumberFormat="1" applyFont="1" applyFill="1" applyBorder="1" applyAlignment="1" applyProtection="1">
      <alignment horizontal="center" vertical="center" wrapText="1"/>
      <protection locked="0"/>
    </xf>
    <xf numFmtId="49" fontId="15" fillId="7" borderId="52" xfId="0" applyNumberFormat="1" applyFont="1" applyFill="1" applyBorder="1" applyAlignment="1" applyProtection="1">
      <alignment horizontal="center" vertical="center" wrapText="1"/>
      <protection locked="0"/>
    </xf>
    <xf numFmtId="49" fontId="15" fillId="7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Alignment="1"/>
    <xf numFmtId="0" fontId="15" fillId="0" borderId="0" xfId="0" applyFont="1" applyFill="1" applyAlignment="1">
      <alignment horizontal="right"/>
    </xf>
    <xf numFmtId="0" fontId="31" fillId="0" borderId="19" xfId="0" applyFont="1" applyBorder="1" applyAlignment="1">
      <alignment vertical="center"/>
    </xf>
    <xf numFmtId="0" fontId="24" fillId="0" borderId="19" xfId="0" applyFont="1" applyBorder="1" applyAlignment="1"/>
    <xf numFmtId="0" fontId="12" fillId="0" borderId="0" xfId="0" applyFont="1" applyFill="1"/>
  </cellXfs>
  <cellStyles count="10">
    <cellStyle name="Hiperłącze" xfId="9" builtinId="8"/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6 2" xfId="6"/>
    <cellStyle name="Procentowy" xfId="7" builtinId="5"/>
    <cellStyle name="Procentowy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_WPF/2012_WPF%20przedsi&#281;wzi&#281;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2Przedsięwzięcia"/>
      <sheetName val="Zał.3 Przeds.zbiorczo"/>
      <sheetName val="Zał.4Zb.przeds"/>
      <sheetName val="Zał.4Zb.progr"/>
    </sheetNames>
    <sheetDataSet>
      <sheetData sheetId="0">
        <row r="22">
          <cell r="E22">
            <v>81649870</v>
          </cell>
          <cell r="F22">
            <v>672400</v>
          </cell>
          <cell r="G22">
            <v>500000</v>
          </cell>
        </row>
        <row r="23">
          <cell r="F23">
            <v>20000000</v>
          </cell>
          <cell r="G23">
            <v>3600000</v>
          </cell>
        </row>
        <row r="26">
          <cell r="I26">
            <v>0</v>
          </cell>
        </row>
        <row r="27">
          <cell r="E27">
            <v>7900</v>
          </cell>
          <cell r="F27">
            <v>2000</v>
          </cell>
          <cell r="G27">
            <v>2000</v>
          </cell>
          <cell r="H27">
            <v>2000</v>
          </cell>
        </row>
        <row r="28">
          <cell r="E28">
            <v>150000</v>
          </cell>
          <cell r="F28">
            <v>50000</v>
          </cell>
        </row>
        <row r="29">
          <cell r="E29">
            <v>18336</v>
          </cell>
          <cell r="F29">
            <v>1476</v>
          </cell>
          <cell r="G29">
            <v>1476</v>
          </cell>
        </row>
        <row r="33">
          <cell r="E33">
            <v>16500</v>
          </cell>
          <cell r="F33">
            <v>6000</v>
          </cell>
        </row>
        <row r="34">
          <cell r="E34">
            <v>6632</v>
          </cell>
          <cell r="F34">
            <v>2214</v>
          </cell>
          <cell r="G34">
            <v>923</v>
          </cell>
        </row>
        <row r="35">
          <cell r="E35">
            <v>4420</v>
          </cell>
          <cell r="F35">
            <v>1476</v>
          </cell>
          <cell r="G35">
            <v>492</v>
          </cell>
        </row>
        <row r="36">
          <cell r="E36">
            <v>22000</v>
          </cell>
          <cell r="F36">
            <v>11000</v>
          </cell>
        </row>
        <row r="37">
          <cell r="E37">
            <v>44500</v>
          </cell>
          <cell r="F37">
            <v>35600</v>
          </cell>
        </row>
        <row r="40">
          <cell r="E40">
            <v>1120882</v>
          </cell>
          <cell r="F40">
            <v>391640</v>
          </cell>
        </row>
        <row r="41">
          <cell r="F41">
            <v>313642</v>
          </cell>
        </row>
        <row r="42">
          <cell r="E42">
            <v>1056418</v>
          </cell>
          <cell r="F42">
            <v>394195</v>
          </cell>
        </row>
        <row r="43">
          <cell r="F43">
            <v>318423</v>
          </cell>
        </row>
        <row r="44">
          <cell r="E44">
            <v>18010079</v>
          </cell>
          <cell r="F44">
            <v>803500</v>
          </cell>
          <cell r="G44">
            <v>1042600</v>
          </cell>
          <cell r="H44">
            <v>1042600</v>
          </cell>
          <cell r="I44">
            <v>1042600</v>
          </cell>
          <cell r="J44">
            <v>1042600</v>
          </cell>
          <cell r="K44">
            <v>1042600</v>
          </cell>
          <cell r="L44">
            <v>1042600</v>
          </cell>
          <cell r="Q44">
            <v>1042600</v>
          </cell>
          <cell r="R44">
            <v>1042600</v>
          </cell>
          <cell r="S44">
            <v>1042600</v>
          </cell>
          <cell r="T44">
            <v>1042600</v>
          </cell>
          <cell r="U44">
            <v>1042600</v>
          </cell>
          <cell r="V44">
            <v>1042600</v>
          </cell>
          <cell r="W44">
            <v>1042600</v>
          </cell>
          <cell r="X44">
            <v>1042600</v>
          </cell>
          <cell r="AC44">
            <v>1042600</v>
          </cell>
        </row>
        <row r="45">
          <cell r="E45">
            <v>303100</v>
          </cell>
          <cell r="F45">
            <v>175450</v>
          </cell>
        </row>
        <row r="46">
          <cell r="F46">
            <v>115450</v>
          </cell>
        </row>
        <row r="48">
          <cell r="F48">
            <v>32700</v>
          </cell>
          <cell r="G48">
            <v>32800</v>
          </cell>
          <cell r="H48">
            <v>32800</v>
          </cell>
          <cell r="I48">
            <v>32700</v>
          </cell>
          <cell r="J48">
            <v>32500</v>
          </cell>
          <cell r="K48">
            <v>32100</v>
          </cell>
          <cell r="L48">
            <v>31600</v>
          </cell>
          <cell r="Q48">
            <v>31000</v>
          </cell>
          <cell r="R48">
            <v>30300</v>
          </cell>
          <cell r="S48">
            <v>29500</v>
          </cell>
          <cell r="T48">
            <v>28600</v>
          </cell>
          <cell r="U48">
            <v>27600</v>
          </cell>
          <cell r="AD48">
            <v>22000</v>
          </cell>
          <cell r="AE48">
            <v>21000</v>
          </cell>
          <cell r="AF48">
            <v>20000</v>
          </cell>
          <cell r="AG48">
            <v>19100</v>
          </cell>
          <cell r="AH48">
            <v>18200</v>
          </cell>
          <cell r="AI48">
            <v>17300</v>
          </cell>
          <cell r="AJ48">
            <v>16500</v>
          </cell>
          <cell r="AO48">
            <v>15800</v>
          </cell>
          <cell r="AP48">
            <v>13600</v>
          </cell>
          <cell r="AQ48">
            <v>13000</v>
          </cell>
          <cell r="AR48">
            <v>12500</v>
          </cell>
          <cell r="AS48">
            <v>12500</v>
          </cell>
          <cell r="AT48">
            <v>12500</v>
          </cell>
          <cell r="AU48">
            <v>12300</v>
          </cell>
          <cell r="AV48">
            <v>12200</v>
          </cell>
          <cell r="BA48">
            <v>10000</v>
          </cell>
          <cell r="BB48">
            <v>11900</v>
          </cell>
          <cell r="BC48">
            <v>11800</v>
          </cell>
        </row>
        <row r="49">
          <cell r="V49">
            <v>26500</v>
          </cell>
          <cell r="W49">
            <v>25400</v>
          </cell>
          <cell r="X49">
            <v>24200</v>
          </cell>
          <cell r="AC49">
            <v>23100</v>
          </cell>
        </row>
      </sheetData>
      <sheetData sheetId="1">
        <row r="49">
          <cell r="E49">
            <v>786054</v>
          </cell>
          <cell r="G49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2:AP60"/>
  <sheetViews>
    <sheetView topLeftCell="A40" workbookViewId="0">
      <selection activeCell="B60" sqref="B60"/>
    </sheetView>
  </sheetViews>
  <sheetFormatPr defaultRowHeight="14.25"/>
  <cols>
    <col min="2" max="2" width="3.875" bestFit="1" customWidth="1"/>
    <col min="3" max="3" width="51.5" customWidth="1"/>
    <col min="4" max="4" width="19.875" customWidth="1"/>
    <col min="5" max="12" width="16.75" bestFit="1" customWidth="1"/>
  </cols>
  <sheetData>
    <row r="2" spans="1:42" ht="15" thickBot="1"/>
    <row r="3" spans="1:42" ht="15" customHeight="1" thickBot="1">
      <c r="A3" s="3"/>
      <c r="B3" s="4" t="s">
        <v>0</v>
      </c>
      <c r="C3" s="21" t="s">
        <v>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11">
        <v>2018</v>
      </c>
      <c r="K3" s="11">
        <v>2019</v>
      </c>
      <c r="L3" s="12">
        <v>2020</v>
      </c>
      <c r="M3" s="14">
        <v>2021</v>
      </c>
      <c r="N3" s="11">
        <v>2022</v>
      </c>
      <c r="O3" s="11">
        <v>2023</v>
      </c>
      <c r="P3" s="11">
        <v>2024</v>
      </c>
      <c r="Q3" s="11">
        <v>2025</v>
      </c>
      <c r="R3" s="11">
        <v>2026</v>
      </c>
      <c r="S3" s="11">
        <v>2027</v>
      </c>
      <c r="T3" s="11">
        <v>2028</v>
      </c>
      <c r="U3" s="11">
        <v>2029</v>
      </c>
      <c r="V3" s="11">
        <v>2030</v>
      </c>
      <c r="W3" s="11">
        <v>2031</v>
      </c>
      <c r="X3" s="11">
        <v>2032</v>
      </c>
      <c r="Y3" s="11">
        <v>2033</v>
      </c>
      <c r="Z3" s="11">
        <v>2034</v>
      </c>
      <c r="AA3" s="11">
        <v>2035</v>
      </c>
      <c r="AB3" s="11">
        <v>2036</v>
      </c>
      <c r="AC3" s="11">
        <v>2037</v>
      </c>
      <c r="AD3" s="11">
        <v>2038</v>
      </c>
      <c r="AE3" s="11">
        <v>2039</v>
      </c>
      <c r="AF3" s="12" t="s">
        <v>8</v>
      </c>
      <c r="AG3" s="12">
        <v>2041</v>
      </c>
      <c r="AH3" s="12">
        <v>2042</v>
      </c>
      <c r="AI3" s="12">
        <v>2043</v>
      </c>
      <c r="AJ3" s="12">
        <v>2044</v>
      </c>
      <c r="AK3" s="12">
        <v>2045</v>
      </c>
      <c r="AL3" s="12">
        <v>2046</v>
      </c>
      <c r="AM3" s="12">
        <v>2047</v>
      </c>
      <c r="AN3" s="12">
        <v>2048</v>
      </c>
      <c r="AO3" s="12">
        <v>2049</v>
      </c>
      <c r="AP3" s="12">
        <v>2050</v>
      </c>
    </row>
    <row r="4" spans="1:42" ht="14.25" customHeight="1">
      <c r="A4" s="10">
        <v>1</v>
      </c>
      <c r="B4" s="17">
        <v>1</v>
      </c>
      <c r="C4" s="22" t="s">
        <v>32</v>
      </c>
      <c r="D4" s="15" t="str">
        <f t="shared" ref="D4:AF16" si="0">+"rokprognozy="&amp;D$3&amp;" i lp="&amp;$A4</f>
        <v>rokprognozy=2012 i lp=1</v>
      </c>
      <c r="E4" s="15" t="str">
        <f t="shared" si="0"/>
        <v>rokprognozy=2013 i lp=1</v>
      </c>
      <c r="F4" s="15" t="str">
        <f t="shared" si="0"/>
        <v>rokprognozy=2014 i lp=1</v>
      </c>
      <c r="G4" s="15" t="str">
        <f t="shared" si="0"/>
        <v>rokprognozy=2015 i lp=1</v>
      </c>
      <c r="H4" s="15" t="str">
        <f t="shared" si="0"/>
        <v>rokprognozy=2016 i lp=1</v>
      </c>
      <c r="I4" s="15" t="str">
        <f t="shared" si="0"/>
        <v>rokprognozy=2017 i lp=1</v>
      </c>
      <c r="J4" s="15" t="str">
        <f t="shared" si="0"/>
        <v>rokprognozy=2018 i lp=1</v>
      </c>
      <c r="K4" s="15" t="str">
        <f t="shared" si="0"/>
        <v>rokprognozy=2019 i lp=1</v>
      </c>
      <c r="L4" s="15" t="str">
        <f t="shared" si="0"/>
        <v>rokprognozy=2020 i lp=1</v>
      </c>
      <c r="M4" s="15" t="str">
        <f t="shared" si="0"/>
        <v>rokprognozy=2021 i lp=1</v>
      </c>
      <c r="N4" s="15" t="str">
        <f t="shared" si="0"/>
        <v>rokprognozy=2022 i lp=1</v>
      </c>
      <c r="O4" s="15" t="str">
        <f t="shared" si="0"/>
        <v>rokprognozy=2023 i lp=1</v>
      </c>
      <c r="P4" s="15" t="str">
        <f t="shared" si="0"/>
        <v>rokprognozy=2024 i lp=1</v>
      </c>
      <c r="Q4" s="15" t="str">
        <f t="shared" si="0"/>
        <v>rokprognozy=2025 i lp=1</v>
      </c>
      <c r="R4" s="15" t="str">
        <f t="shared" si="0"/>
        <v>rokprognozy=2026 i lp=1</v>
      </c>
      <c r="S4" s="15" t="str">
        <f t="shared" si="0"/>
        <v>rokprognozy=2027 i lp=1</v>
      </c>
      <c r="T4" s="15" t="str">
        <f t="shared" si="0"/>
        <v>rokprognozy=2028 i lp=1</v>
      </c>
      <c r="U4" s="15" t="str">
        <f t="shared" si="0"/>
        <v>rokprognozy=2029 i lp=1</v>
      </c>
      <c r="V4" s="15" t="str">
        <f t="shared" si="0"/>
        <v>rokprognozy=2030 i lp=1</v>
      </c>
      <c r="W4" s="15" t="str">
        <f t="shared" si="0"/>
        <v>rokprognozy=2031 i lp=1</v>
      </c>
      <c r="X4" s="15" t="str">
        <f t="shared" si="0"/>
        <v>rokprognozy=2032 i lp=1</v>
      </c>
      <c r="Y4" s="15" t="str">
        <f t="shared" si="0"/>
        <v>rokprognozy=2033 i lp=1</v>
      </c>
      <c r="Z4" s="15" t="str">
        <f t="shared" si="0"/>
        <v>rokprognozy=2034 i lp=1</v>
      </c>
      <c r="AA4" s="15" t="str">
        <f t="shared" si="0"/>
        <v>rokprognozy=2035 i lp=1</v>
      </c>
      <c r="AB4" s="15" t="str">
        <f t="shared" si="0"/>
        <v>rokprognozy=2036 i lp=1</v>
      </c>
      <c r="AC4" s="15" t="str">
        <f t="shared" si="0"/>
        <v>rokprognozy=2037 i lp=1</v>
      </c>
      <c r="AD4" s="15" t="str">
        <f t="shared" si="0"/>
        <v>rokprognozy=2038 i lp=1</v>
      </c>
      <c r="AE4" s="15" t="str">
        <f t="shared" si="0"/>
        <v>rokprognozy=2039 i lp=1</v>
      </c>
      <c r="AF4" s="15" t="str">
        <f t="shared" si="0"/>
        <v>rokprognozy=2040 i lp=1</v>
      </c>
      <c r="AG4" s="15" t="str">
        <f t="shared" ref="AG4:AP15" si="1">+"rokprognozy="&amp;AG$3&amp;" i lp="&amp;$A4</f>
        <v>rokprognozy=2041 i lp=1</v>
      </c>
      <c r="AH4" s="15" t="str">
        <f t="shared" si="1"/>
        <v>rokprognozy=2042 i lp=1</v>
      </c>
      <c r="AI4" s="15" t="str">
        <f t="shared" si="1"/>
        <v>rokprognozy=2043 i lp=1</v>
      </c>
      <c r="AJ4" s="15" t="str">
        <f t="shared" si="1"/>
        <v>rokprognozy=2044 i lp=1</v>
      </c>
      <c r="AK4" s="15" t="str">
        <f t="shared" si="1"/>
        <v>rokprognozy=2045 i lp=1</v>
      </c>
      <c r="AL4" s="15" t="str">
        <f t="shared" si="1"/>
        <v>rokprognozy=2046 i lp=1</v>
      </c>
      <c r="AM4" s="15" t="str">
        <f t="shared" si="1"/>
        <v>rokprognozy=2047 i lp=1</v>
      </c>
      <c r="AN4" s="15" t="str">
        <f t="shared" si="1"/>
        <v>rokprognozy=2048 i lp=1</v>
      </c>
      <c r="AO4" s="15" t="str">
        <f t="shared" si="1"/>
        <v>rokprognozy=2049 i lp=1</v>
      </c>
      <c r="AP4" s="15" t="str">
        <f t="shared" si="1"/>
        <v>rokprognozy=2050 i lp=1</v>
      </c>
    </row>
    <row r="5" spans="1:42" ht="14.25" customHeight="1">
      <c r="A5" s="5">
        <v>2</v>
      </c>
      <c r="B5" s="17" t="s">
        <v>33</v>
      </c>
      <c r="C5" s="1" t="s">
        <v>34</v>
      </c>
      <c r="D5" s="15" t="str">
        <f t="shared" ref="D5:L30" si="2">+"rokprognozy="&amp;D$3&amp;" i lp="&amp;$A5</f>
        <v>rokprognozy=2012 i lp=2</v>
      </c>
      <c r="E5" s="15" t="str">
        <f t="shared" si="2"/>
        <v>rokprognozy=2013 i lp=2</v>
      </c>
      <c r="F5" s="15" t="str">
        <f t="shared" si="2"/>
        <v>rokprognozy=2014 i lp=2</v>
      </c>
      <c r="G5" s="15" t="str">
        <f t="shared" si="2"/>
        <v>rokprognozy=2015 i lp=2</v>
      </c>
      <c r="H5" s="15" t="str">
        <f t="shared" si="2"/>
        <v>rokprognozy=2016 i lp=2</v>
      </c>
      <c r="I5" s="15" t="str">
        <f t="shared" si="2"/>
        <v>rokprognozy=2017 i lp=2</v>
      </c>
      <c r="J5" s="15" t="str">
        <f t="shared" si="2"/>
        <v>rokprognozy=2018 i lp=2</v>
      </c>
      <c r="K5" s="15" t="str">
        <f t="shared" si="2"/>
        <v>rokprognozy=2019 i lp=2</v>
      </c>
      <c r="L5" s="15" t="str">
        <f t="shared" si="2"/>
        <v>rokprognozy=2020 i lp=2</v>
      </c>
      <c r="M5" s="15" t="str">
        <f t="shared" si="0"/>
        <v>rokprognozy=2021 i lp=2</v>
      </c>
      <c r="N5" s="15" t="str">
        <f t="shared" si="0"/>
        <v>rokprognozy=2022 i lp=2</v>
      </c>
      <c r="O5" s="15" t="str">
        <f t="shared" si="0"/>
        <v>rokprognozy=2023 i lp=2</v>
      </c>
      <c r="P5" s="15" t="str">
        <f t="shared" si="0"/>
        <v>rokprognozy=2024 i lp=2</v>
      </c>
      <c r="Q5" s="15" t="str">
        <f t="shared" si="0"/>
        <v>rokprognozy=2025 i lp=2</v>
      </c>
      <c r="R5" s="15" t="str">
        <f t="shared" si="0"/>
        <v>rokprognozy=2026 i lp=2</v>
      </c>
      <c r="S5" s="15" t="str">
        <f t="shared" si="0"/>
        <v>rokprognozy=2027 i lp=2</v>
      </c>
      <c r="T5" s="15" t="str">
        <f t="shared" si="0"/>
        <v>rokprognozy=2028 i lp=2</v>
      </c>
      <c r="U5" s="15" t="str">
        <f t="shared" si="0"/>
        <v>rokprognozy=2029 i lp=2</v>
      </c>
      <c r="V5" s="15" t="str">
        <f t="shared" si="0"/>
        <v>rokprognozy=2030 i lp=2</v>
      </c>
      <c r="W5" s="15" t="str">
        <f t="shared" si="0"/>
        <v>rokprognozy=2031 i lp=2</v>
      </c>
      <c r="X5" s="15" t="str">
        <f t="shared" si="0"/>
        <v>rokprognozy=2032 i lp=2</v>
      </c>
      <c r="Y5" s="15" t="str">
        <f t="shared" si="0"/>
        <v>rokprognozy=2033 i lp=2</v>
      </c>
      <c r="Z5" s="15" t="str">
        <f t="shared" si="0"/>
        <v>rokprognozy=2034 i lp=2</v>
      </c>
      <c r="AA5" s="15" t="str">
        <f t="shared" si="0"/>
        <v>rokprognozy=2035 i lp=2</v>
      </c>
      <c r="AB5" s="15" t="str">
        <f t="shared" si="0"/>
        <v>rokprognozy=2036 i lp=2</v>
      </c>
      <c r="AC5" s="15" t="str">
        <f t="shared" si="0"/>
        <v>rokprognozy=2037 i lp=2</v>
      </c>
      <c r="AD5" s="15" t="str">
        <f t="shared" si="0"/>
        <v>rokprognozy=2038 i lp=2</v>
      </c>
      <c r="AE5" s="15" t="str">
        <f t="shared" si="0"/>
        <v>rokprognozy=2039 i lp=2</v>
      </c>
      <c r="AF5" s="15" t="str">
        <f t="shared" si="0"/>
        <v>rokprognozy=2040 i lp=2</v>
      </c>
      <c r="AG5" s="15" t="str">
        <f t="shared" si="1"/>
        <v>rokprognozy=2041 i lp=2</v>
      </c>
      <c r="AH5" s="15" t="str">
        <f t="shared" si="1"/>
        <v>rokprognozy=2042 i lp=2</v>
      </c>
      <c r="AI5" s="15" t="str">
        <f t="shared" si="1"/>
        <v>rokprognozy=2043 i lp=2</v>
      </c>
      <c r="AJ5" s="15" t="str">
        <f t="shared" si="1"/>
        <v>rokprognozy=2044 i lp=2</v>
      </c>
      <c r="AK5" s="15" t="str">
        <f t="shared" si="1"/>
        <v>rokprognozy=2045 i lp=2</v>
      </c>
      <c r="AL5" s="15" t="str">
        <f t="shared" si="1"/>
        <v>rokprognozy=2046 i lp=2</v>
      </c>
      <c r="AM5" s="15" t="str">
        <f t="shared" si="1"/>
        <v>rokprognozy=2047 i lp=2</v>
      </c>
      <c r="AN5" s="15" t="str">
        <f t="shared" si="1"/>
        <v>rokprognozy=2048 i lp=2</v>
      </c>
      <c r="AO5" s="15" t="str">
        <f t="shared" si="1"/>
        <v>rokprognozy=2049 i lp=2</v>
      </c>
      <c r="AP5" s="15" t="str">
        <f t="shared" si="1"/>
        <v>rokprognozy=2050 i lp=2</v>
      </c>
    </row>
    <row r="6" spans="1:42" ht="14.25" customHeight="1">
      <c r="A6" s="5">
        <v>3</v>
      </c>
      <c r="B6" s="17" t="s">
        <v>35</v>
      </c>
      <c r="C6" s="1" t="s">
        <v>36</v>
      </c>
      <c r="D6" s="15" t="str">
        <f t="shared" si="2"/>
        <v>rokprognozy=2012 i lp=3</v>
      </c>
      <c r="E6" s="15" t="str">
        <f t="shared" si="2"/>
        <v>rokprognozy=2013 i lp=3</v>
      </c>
      <c r="F6" s="15" t="str">
        <f t="shared" si="2"/>
        <v>rokprognozy=2014 i lp=3</v>
      </c>
      <c r="G6" s="15" t="str">
        <f t="shared" si="2"/>
        <v>rokprognozy=2015 i lp=3</v>
      </c>
      <c r="H6" s="15" t="str">
        <f t="shared" si="2"/>
        <v>rokprognozy=2016 i lp=3</v>
      </c>
      <c r="I6" s="15" t="str">
        <f t="shared" si="2"/>
        <v>rokprognozy=2017 i lp=3</v>
      </c>
      <c r="J6" s="15" t="str">
        <f t="shared" si="2"/>
        <v>rokprognozy=2018 i lp=3</v>
      </c>
      <c r="K6" s="15" t="str">
        <f t="shared" si="2"/>
        <v>rokprognozy=2019 i lp=3</v>
      </c>
      <c r="L6" s="15" t="str">
        <f t="shared" si="2"/>
        <v>rokprognozy=2020 i lp=3</v>
      </c>
      <c r="M6" s="15" t="str">
        <f t="shared" si="0"/>
        <v>rokprognozy=2021 i lp=3</v>
      </c>
      <c r="N6" s="15" t="str">
        <f t="shared" si="0"/>
        <v>rokprognozy=2022 i lp=3</v>
      </c>
      <c r="O6" s="15" t="str">
        <f t="shared" si="0"/>
        <v>rokprognozy=2023 i lp=3</v>
      </c>
      <c r="P6" s="15" t="str">
        <f t="shared" si="0"/>
        <v>rokprognozy=2024 i lp=3</v>
      </c>
      <c r="Q6" s="15" t="str">
        <f t="shared" si="0"/>
        <v>rokprognozy=2025 i lp=3</v>
      </c>
      <c r="R6" s="15" t="str">
        <f t="shared" si="0"/>
        <v>rokprognozy=2026 i lp=3</v>
      </c>
      <c r="S6" s="15" t="str">
        <f t="shared" si="0"/>
        <v>rokprognozy=2027 i lp=3</v>
      </c>
      <c r="T6" s="15" t="str">
        <f t="shared" si="0"/>
        <v>rokprognozy=2028 i lp=3</v>
      </c>
      <c r="U6" s="15" t="str">
        <f t="shared" si="0"/>
        <v>rokprognozy=2029 i lp=3</v>
      </c>
      <c r="V6" s="15" t="str">
        <f t="shared" si="0"/>
        <v>rokprognozy=2030 i lp=3</v>
      </c>
      <c r="W6" s="15" t="str">
        <f t="shared" si="0"/>
        <v>rokprognozy=2031 i lp=3</v>
      </c>
      <c r="X6" s="15" t="str">
        <f t="shared" si="0"/>
        <v>rokprognozy=2032 i lp=3</v>
      </c>
      <c r="Y6" s="15" t="str">
        <f t="shared" si="0"/>
        <v>rokprognozy=2033 i lp=3</v>
      </c>
      <c r="Z6" s="15" t="str">
        <f t="shared" si="0"/>
        <v>rokprognozy=2034 i lp=3</v>
      </c>
      <c r="AA6" s="15" t="str">
        <f t="shared" si="0"/>
        <v>rokprognozy=2035 i lp=3</v>
      </c>
      <c r="AB6" s="15" t="str">
        <f t="shared" si="0"/>
        <v>rokprognozy=2036 i lp=3</v>
      </c>
      <c r="AC6" s="15" t="str">
        <f t="shared" si="0"/>
        <v>rokprognozy=2037 i lp=3</v>
      </c>
      <c r="AD6" s="15" t="str">
        <f t="shared" si="0"/>
        <v>rokprognozy=2038 i lp=3</v>
      </c>
      <c r="AE6" s="15" t="str">
        <f t="shared" si="0"/>
        <v>rokprognozy=2039 i lp=3</v>
      </c>
      <c r="AF6" s="15" t="str">
        <f t="shared" si="0"/>
        <v>rokprognozy=2040 i lp=3</v>
      </c>
      <c r="AG6" s="15" t="str">
        <f t="shared" si="1"/>
        <v>rokprognozy=2041 i lp=3</v>
      </c>
      <c r="AH6" s="15" t="str">
        <f t="shared" si="1"/>
        <v>rokprognozy=2042 i lp=3</v>
      </c>
      <c r="AI6" s="15" t="str">
        <f t="shared" si="1"/>
        <v>rokprognozy=2043 i lp=3</v>
      </c>
      <c r="AJ6" s="15" t="str">
        <f t="shared" si="1"/>
        <v>rokprognozy=2044 i lp=3</v>
      </c>
      <c r="AK6" s="15" t="str">
        <f t="shared" si="1"/>
        <v>rokprognozy=2045 i lp=3</v>
      </c>
      <c r="AL6" s="15" t="str">
        <f t="shared" si="1"/>
        <v>rokprognozy=2046 i lp=3</v>
      </c>
      <c r="AM6" s="15" t="str">
        <f t="shared" si="1"/>
        <v>rokprognozy=2047 i lp=3</v>
      </c>
      <c r="AN6" s="15" t="str">
        <f t="shared" si="1"/>
        <v>rokprognozy=2048 i lp=3</v>
      </c>
      <c r="AO6" s="15" t="str">
        <f t="shared" si="1"/>
        <v>rokprognozy=2049 i lp=3</v>
      </c>
      <c r="AP6" s="15" t="str">
        <f t="shared" si="1"/>
        <v>rokprognozy=2050 i lp=3</v>
      </c>
    </row>
    <row r="7" spans="1:42">
      <c r="A7" s="5">
        <v>4</v>
      </c>
      <c r="B7" s="17" t="s">
        <v>37</v>
      </c>
      <c r="C7" s="2" t="s">
        <v>38</v>
      </c>
      <c r="D7" s="15" t="str">
        <f t="shared" si="2"/>
        <v>rokprognozy=2012 i lp=4</v>
      </c>
      <c r="E7" s="15" t="str">
        <f t="shared" si="2"/>
        <v>rokprognozy=2013 i lp=4</v>
      </c>
      <c r="F7" s="15" t="str">
        <f t="shared" si="2"/>
        <v>rokprognozy=2014 i lp=4</v>
      </c>
      <c r="G7" s="15" t="str">
        <f t="shared" si="2"/>
        <v>rokprognozy=2015 i lp=4</v>
      </c>
      <c r="H7" s="15" t="str">
        <f t="shared" si="2"/>
        <v>rokprognozy=2016 i lp=4</v>
      </c>
      <c r="I7" s="15" t="str">
        <f t="shared" si="2"/>
        <v>rokprognozy=2017 i lp=4</v>
      </c>
      <c r="J7" s="15" t="str">
        <f t="shared" si="2"/>
        <v>rokprognozy=2018 i lp=4</v>
      </c>
      <c r="K7" s="15" t="str">
        <f t="shared" si="2"/>
        <v>rokprognozy=2019 i lp=4</v>
      </c>
      <c r="L7" s="15" t="str">
        <f t="shared" si="2"/>
        <v>rokprognozy=2020 i lp=4</v>
      </c>
      <c r="M7" s="15" t="str">
        <f t="shared" si="0"/>
        <v>rokprognozy=2021 i lp=4</v>
      </c>
      <c r="N7" s="15" t="str">
        <f t="shared" si="0"/>
        <v>rokprognozy=2022 i lp=4</v>
      </c>
      <c r="O7" s="15" t="str">
        <f t="shared" si="0"/>
        <v>rokprognozy=2023 i lp=4</v>
      </c>
      <c r="P7" s="15" t="str">
        <f t="shared" si="0"/>
        <v>rokprognozy=2024 i lp=4</v>
      </c>
      <c r="Q7" s="15" t="str">
        <f t="shared" si="0"/>
        <v>rokprognozy=2025 i lp=4</v>
      </c>
      <c r="R7" s="15" t="str">
        <f t="shared" si="0"/>
        <v>rokprognozy=2026 i lp=4</v>
      </c>
      <c r="S7" s="15" t="str">
        <f t="shared" si="0"/>
        <v>rokprognozy=2027 i lp=4</v>
      </c>
      <c r="T7" s="15" t="str">
        <f t="shared" si="0"/>
        <v>rokprognozy=2028 i lp=4</v>
      </c>
      <c r="U7" s="15" t="str">
        <f t="shared" si="0"/>
        <v>rokprognozy=2029 i lp=4</v>
      </c>
      <c r="V7" s="15" t="str">
        <f t="shared" si="0"/>
        <v>rokprognozy=2030 i lp=4</v>
      </c>
      <c r="W7" s="15" t="str">
        <f t="shared" si="0"/>
        <v>rokprognozy=2031 i lp=4</v>
      </c>
      <c r="X7" s="15" t="str">
        <f t="shared" si="0"/>
        <v>rokprognozy=2032 i lp=4</v>
      </c>
      <c r="Y7" s="15" t="str">
        <f t="shared" si="0"/>
        <v>rokprognozy=2033 i lp=4</v>
      </c>
      <c r="Z7" s="15" t="str">
        <f t="shared" si="0"/>
        <v>rokprognozy=2034 i lp=4</v>
      </c>
      <c r="AA7" s="15" t="str">
        <f t="shared" si="0"/>
        <v>rokprognozy=2035 i lp=4</v>
      </c>
      <c r="AB7" s="15" t="str">
        <f t="shared" si="0"/>
        <v>rokprognozy=2036 i lp=4</v>
      </c>
      <c r="AC7" s="15" t="str">
        <f t="shared" si="0"/>
        <v>rokprognozy=2037 i lp=4</v>
      </c>
      <c r="AD7" s="15" t="str">
        <f t="shared" si="0"/>
        <v>rokprognozy=2038 i lp=4</v>
      </c>
      <c r="AE7" s="15" t="str">
        <f t="shared" si="0"/>
        <v>rokprognozy=2039 i lp=4</v>
      </c>
      <c r="AF7" s="15" t="str">
        <f t="shared" si="0"/>
        <v>rokprognozy=2040 i lp=4</v>
      </c>
      <c r="AG7" s="15" t="str">
        <f t="shared" si="1"/>
        <v>rokprognozy=2041 i lp=4</v>
      </c>
      <c r="AH7" s="15" t="str">
        <f t="shared" si="1"/>
        <v>rokprognozy=2042 i lp=4</v>
      </c>
      <c r="AI7" s="15" t="str">
        <f t="shared" si="1"/>
        <v>rokprognozy=2043 i lp=4</v>
      </c>
      <c r="AJ7" s="15" t="str">
        <f t="shared" si="1"/>
        <v>rokprognozy=2044 i lp=4</v>
      </c>
      <c r="AK7" s="15" t="str">
        <f t="shared" si="1"/>
        <v>rokprognozy=2045 i lp=4</v>
      </c>
      <c r="AL7" s="15" t="str">
        <f t="shared" si="1"/>
        <v>rokprognozy=2046 i lp=4</v>
      </c>
      <c r="AM7" s="15" t="str">
        <f t="shared" si="1"/>
        <v>rokprognozy=2047 i lp=4</v>
      </c>
      <c r="AN7" s="15" t="str">
        <f t="shared" si="1"/>
        <v>rokprognozy=2048 i lp=4</v>
      </c>
      <c r="AO7" s="15" t="str">
        <f t="shared" si="1"/>
        <v>rokprognozy=2049 i lp=4</v>
      </c>
      <c r="AP7" s="15" t="str">
        <f t="shared" si="1"/>
        <v>rokprognozy=2050 i lp=4</v>
      </c>
    </row>
    <row r="8" spans="1:42" ht="14.25" customHeight="1">
      <c r="A8" s="6">
        <v>5</v>
      </c>
      <c r="B8" s="17" t="s">
        <v>39</v>
      </c>
      <c r="C8" s="19" t="s">
        <v>40</v>
      </c>
      <c r="D8" s="15" t="str">
        <f t="shared" si="2"/>
        <v>rokprognozy=2012 i lp=5</v>
      </c>
      <c r="E8" s="15" t="str">
        <f t="shared" si="2"/>
        <v>rokprognozy=2013 i lp=5</v>
      </c>
      <c r="F8" s="15" t="str">
        <f t="shared" si="2"/>
        <v>rokprognozy=2014 i lp=5</v>
      </c>
      <c r="G8" s="15" t="str">
        <f t="shared" si="2"/>
        <v>rokprognozy=2015 i lp=5</v>
      </c>
      <c r="H8" s="15" t="str">
        <f t="shared" si="2"/>
        <v>rokprognozy=2016 i lp=5</v>
      </c>
      <c r="I8" s="15" t="str">
        <f t="shared" si="2"/>
        <v>rokprognozy=2017 i lp=5</v>
      </c>
      <c r="J8" s="15" t="str">
        <f t="shared" si="2"/>
        <v>rokprognozy=2018 i lp=5</v>
      </c>
      <c r="K8" s="15" t="str">
        <f t="shared" si="2"/>
        <v>rokprognozy=2019 i lp=5</v>
      </c>
      <c r="L8" s="15" t="str">
        <f t="shared" si="2"/>
        <v>rokprognozy=2020 i lp=5</v>
      </c>
      <c r="M8" s="15" t="str">
        <f t="shared" si="0"/>
        <v>rokprognozy=2021 i lp=5</v>
      </c>
      <c r="N8" s="15" t="str">
        <f t="shared" si="0"/>
        <v>rokprognozy=2022 i lp=5</v>
      </c>
      <c r="O8" s="15" t="str">
        <f t="shared" si="0"/>
        <v>rokprognozy=2023 i lp=5</v>
      </c>
      <c r="P8" s="15" t="str">
        <f t="shared" si="0"/>
        <v>rokprognozy=2024 i lp=5</v>
      </c>
      <c r="Q8" s="15" t="str">
        <f t="shared" si="0"/>
        <v>rokprognozy=2025 i lp=5</v>
      </c>
      <c r="R8" s="15" t="str">
        <f t="shared" si="0"/>
        <v>rokprognozy=2026 i lp=5</v>
      </c>
      <c r="S8" s="15" t="str">
        <f t="shared" si="0"/>
        <v>rokprognozy=2027 i lp=5</v>
      </c>
      <c r="T8" s="15" t="str">
        <f t="shared" si="0"/>
        <v>rokprognozy=2028 i lp=5</v>
      </c>
      <c r="U8" s="15" t="str">
        <f t="shared" si="0"/>
        <v>rokprognozy=2029 i lp=5</v>
      </c>
      <c r="V8" s="15" t="str">
        <f t="shared" si="0"/>
        <v>rokprognozy=2030 i lp=5</v>
      </c>
      <c r="W8" s="15" t="str">
        <f t="shared" si="0"/>
        <v>rokprognozy=2031 i lp=5</v>
      </c>
      <c r="X8" s="15" t="str">
        <f t="shared" si="0"/>
        <v>rokprognozy=2032 i lp=5</v>
      </c>
      <c r="Y8" s="15" t="str">
        <f t="shared" si="0"/>
        <v>rokprognozy=2033 i lp=5</v>
      </c>
      <c r="Z8" s="15" t="str">
        <f t="shared" si="0"/>
        <v>rokprognozy=2034 i lp=5</v>
      </c>
      <c r="AA8" s="15" t="str">
        <f t="shared" si="0"/>
        <v>rokprognozy=2035 i lp=5</v>
      </c>
      <c r="AB8" s="15" t="str">
        <f t="shared" si="0"/>
        <v>rokprognozy=2036 i lp=5</v>
      </c>
      <c r="AC8" s="15" t="str">
        <f t="shared" si="0"/>
        <v>rokprognozy=2037 i lp=5</v>
      </c>
      <c r="AD8" s="15" t="str">
        <f t="shared" si="0"/>
        <v>rokprognozy=2038 i lp=5</v>
      </c>
      <c r="AE8" s="15" t="str">
        <f t="shared" si="0"/>
        <v>rokprognozy=2039 i lp=5</v>
      </c>
      <c r="AF8" s="15" t="str">
        <f t="shared" si="0"/>
        <v>rokprognozy=2040 i lp=5</v>
      </c>
      <c r="AG8" s="15" t="str">
        <f t="shared" si="1"/>
        <v>rokprognozy=2041 i lp=5</v>
      </c>
      <c r="AH8" s="15" t="str">
        <f t="shared" si="1"/>
        <v>rokprognozy=2042 i lp=5</v>
      </c>
      <c r="AI8" s="15" t="str">
        <f t="shared" si="1"/>
        <v>rokprognozy=2043 i lp=5</v>
      </c>
      <c r="AJ8" s="15" t="str">
        <f t="shared" si="1"/>
        <v>rokprognozy=2044 i lp=5</v>
      </c>
      <c r="AK8" s="15" t="str">
        <f t="shared" si="1"/>
        <v>rokprognozy=2045 i lp=5</v>
      </c>
      <c r="AL8" s="15" t="str">
        <f t="shared" si="1"/>
        <v>rokprognozy=2046 i lp=5</v>
      </c>
      <c r="AM8" s="15" t="str">
        <f t="shared" si="1"/>
        <v>rokprognozy=2047 i lp=5</v>
      </c>
      <c r="AN8" s="15" t="str">
        <f t="shared" si="1"/>
        <v>rokprognozy=2048 i lp=5</v>
      </c>
      <c r="AO8" s="15" t="str">
        <f t="shared" si="1"/>
        <v>rokprognozy=2049 i lp=5</v>
      </c>
      <c r="AP8" s="15" t="str">
        <f t="shared" si="1"/>
        <v>rokprognozy=2050 i lp=5</v>
      </c>
    </row>
    <row r="9" spans="1:42" ht="14.25" customHeight="1">
      <c r="A9" s="5">
        <v>6</v>
      </c>
      <c r="B9" s="17" t="s">
        <v>41</v>
      </c>
      <c r="C9" s="1" t="s">
        <v>42</v>
      </c>
      <c r="D9" s="15" t="str">
        <f t="shared" si="2"/>
        <v>rokprognozy=2012 i lp=6</v>
      </c>
      <c r="E9" s="15" t="str">
        <f t="shared" si="2"/>
        <v>rokprognozy=2013 i lp=6</v>
      </c>
      <c r="F9" s="15" t="str">
        <f t="shared" si="2"/>
        <v>rokprognozy=2014 i lp=6</v>
      </c>
      <c r="G9" s="15" t="str">
        <f t="shared" si="2"/>
        <v>rokprognozy=2015 i lp=6</v>
      </c>
      <c r="H9" s="15" t="str">
        <f t="shared" si="2"/>
        <v>rokprognozy=2016 i lp=6</v>
      </c>
      <c r="I9" s="15" t="str">
        <f t="shared" si="2"/>
        <v>rokprognozy=2017 i lp=6</v>
      </c>
      <c r="J9" s="15" t="str">
        <f t="shared" si="2"/>
        <v>rokprognozy=2018 i lp=6</v>
      </c>
      <c r="K9" s="15" t="str">
        <f t="shared" si="2"/>
        <v>rokprognozy=2019 i lp=6</v>
      </c>
      <c r="L9" s="15" t="str">
        <f t="shared" si="2"/>
        <v>rokprognozy=2020 i lp=6</v>
      </c>
      <c r="M9" s="15" t="str">
        <f t="shared" si="0"/>
        <v>rokprognozy=2021 i lp=6</v>
      </c>
      <c r="N9" s="15" t="str">
        <f t="shared" si="0"/>
        <v>rokprognozy=2022 i lp=6</v>
      </c>
      <c r="O9" s="15" t="str">
        <f t="shared" si="0"/>
        <v>rokprognozy=2023 i lp=6</v>
      </c>
      <c r="P9" s="15" t="str">
        <f t="shared" si="0"/>
        <v>rokprognozy=2024 i lp=6</v>
      </c>
      <c r="Q9" s="15" t="str">
        <f t="shared" si="0"/>
        <v>rokprognozy=2025 i lp=6</v>
      </c>
      <c r="R9" s="15" t="str">
        <f t="shared" si="0"/>
        <v>rokprognozy=2026 i lp=6</v>
      </c>
      <c r="S9" s="15" t="str">
        <f t="shared" si="0"/>
        <v>rokprognozy=2027 i lp=6</v>
      </c>
      <c r="T9" s="15" t="str">
        <f t="shared" si="0"/>
        <v>rokprognozy=2028 i lp=6</v>
      </c>
      <c r="U9" s="15" t="str">
        <f t="shared" si="0"/>
        <v>rokprognozy=2029 i lp=6</v>
      </c>
      <c r="V9" s="15" t="str">
        <f t="shared" si="0"/>
        <v>rokprognozy=2030 i lp=6</v>
      </c>
      <c r="W9" s="15" t="str">
        <f t="shared" si="0"/>
        <v>rokprognozy=2031 i lp=6</v>
      </c>
      <c r="X9" s="15" t="str">
        <f t="shared" si="0"/>
        <v>rokprognozy=2032 i lp=6</v>
      </c>
      <c r="Y9" s="15" t="str">
        <f t="shared" si="0"/>
        <v>rokprognozy=2033 i lp=6</v>
      </c>
      <c r="Z9" s="15" t="str">
        <f t="shared" si="0"/>
        <v>rokprognozy=2034 i lp=6</v>
      </c>
      <c r="AA9" s="15" t="str">
        <f t="shared" si="0"/>
        <v>rokprognozy=2035 i lp=6</v>
      </c>
      <c r="AB9" s="15" t="str">
        <f t="shared" si="0"/>
        <v>rokprognozy=2036 i lp=6</v>
      </c>
      <c r="AC9" s="15" t="str">
        <f t="shared" si="0"/>
        <v>rokprognozy=2037 i lp=6</v>
      </c>
      <c r="AD9" s="15" t="str">
        <f t="shared" si="0"/>
        <v>rokprognozy=2038 i lp=6</v>
      </c>
      <c r="AE9" s="15" t="str">
        <f t="shared" si="0"/>
        <v>rokprognozy=2039 i lp=6</v>
      </c>
      <c r="AF9" s="15" t="str">
        <f t="shared" si="0"/>
        <v>rokprognozy=2040 i lp=6</v>
      </c>
      <c r="AG9" s="15" t="str">
        <f t="shared" si="1"/>
        <v>rokprognozy=2041 i lp=6</v>
      </c>
      <c r="AH9" s="15" t="str">
        <f t="shared" si="1"/>
        <v>rokprognozy=2042 i lp=6</v>
      </c>
      <c r="AI9" s="15" t="str">
        <f t="shared" si="1"/>
        <v>rokprognozy=2043 i lp=6</v>
      </c>
      <c r="AJ9" s="15" t="str">
        <f t="shared" si="1"/>
        <v>rokprognozy=2044 i lp=6</v>
      </c>
      <c r="AK9" s="15" t="str">
        <f t="shared" si="1"/>
        <v>rokprognozy=2045 i lp=6</v>
      </c>
      <c r="AL9" s="15" t="str">
        <f t="shared" si="1"/>
        <v>rokprognozy=2046 i lp=6</v>
      </c>
      <c r="AM9" s="15" t="str">
        <f t="shared" si="1"/>
        <v>rokprognozy=2047 i lp=6</v>
      </c>
      <c r="AN9" s="15" t="str">
        <f t="shared" si="1"/>
        <v>rokprognozy=2048 i lp=6</v>
      </c>
      <c r="AO9" s="15" t="str">
        <f t="shared" si="1"/>
        <v>rokprognozy=2049 i lp=6</v>
      </c>
      <c r="AP9" s="15" t="str">
        <f t="shared" si="1"/>
        <v>rokprognozy=2050 i lp=6</v>
      </c>
    </row>
    <row r="10" spans="1:42" ht="14.25" customHeight="1">
      <c r="A10" s="5">
        <v>7</v>
      </c>
      <c r="B10" s="17">
        <v>2</v>
      </c>
      <c r="C10" s="1" t="s">
        <v>2</v>
      </c>
      <c r="D10" s="15" t="str">
        <f t="shared" si="2"/>
        <v>rokprognozy=2012 i lp=7</v>
      </c>
      <c r="E10" s="15" t="str">
        <f t="shared" si="2"/>
        <v>rokprognozy=2013 i lp=7</v>
      </c>
      <c r="F10" s="15" t="str">
        <f t="shared" si="2"/>
        <v>rokprognozy=2014 i lp=7</v>
      </c>
      <c r="G10" s="15" t="str">
        <f t="shared" si="2"/>
        <v>rokprognozy=2015 i lp=7</v>
      </c>
      <c r="H10" s="15" t="str">
        <f t="shared" si="2"/>
        <v>rokprognozy=2016 i lp=7</v>
      </c>
      <c r="I10" s="15" t="str">
        <f t="shared" si="2"/>
        <v>rokprognozy=2017 i lp=7</v>
      </c>
      <c r="J10" s="15" t="str">
        <f t="shared" si="2"/>
        <v>rokprognozy=2018 i lp=7</v>
      </c>
      <c r="K10" s="15" t="str">
        <f t="shared" si="2"/>
        <v>rokprognozy=2019 i lp=7</v>
      </c>
      <c r="L10" s="15" t="str">
        <f t="shared" si="2"/>
        <v>rokprognozy=2020 i lp=7</v>
      </c>
      <c r="M10" s="15" t="str">
        <f t="shared" si="0"/>
        <v>rokprognozy=2021 i lp=7</v>
      </c>
      <c r="N10" s="15" t="str">
        <f t="shared" si="0"/>
        <v>rokprognozy=2022 i lp=7</v>
      </c>
      <c r="O10" s="15" t="str">
        <f t="shared" si="0"/>
        <v>rokprognozy=2023 i lp=7</v>
      </c>
      <c r="P10" s="15" t="str">
        <f t="shared" si="0"/>
        <v>rokprognozy=2024 i lp=7</v>
      </c>
      <c r="Q10" s="15" t="str">
        <f t="shared" si="0"/>
        <v>rokprognozy=2025 i lp=7</v>
      </c>
      <c r="R10" s="15" t="str">
        <f t="shared" si="0"/>
        <v>rokprognozy=2026 i lp=7</v>
      </c>
      <c r="S10" s="15" t="str">
        <f t="shared" si="0"/>
        <v>rokprognozy=2027 i lp=7</v>
      </c>
      <c r="T10" s="15" t="str">
        <f t="shared" si="0"/>
        <v>rokprognozy=2028 i lp=7</v>
      </c>
      <c r="U10" s="15" t="str">
        <f t="shared" si="0"/>
        <v>rokprognozy=2029 i lp=7</v>
      </c>
      <c r="V10" s="15" t="str">
        <f t="shared" si="0"/>
        <v>rokprognozy=2030 i lp=7</v>
      </c>
      <c r="W10" s="15" t="str">
        <f t="shared" si="0"/>
        <v>rokprognozy=2031 i lp=7</v>
      </c>
      <c r="X10" s="15" t="str">
        <f t="shared" si="0"/>
        <v>rokprognozy=2032 i lp=7</v>
      </c>
      <c r="Y10" s="15" t="str">
        <f t="shared" si="0"/>
        <v>rokprognozy=2033 i lp=7</v>
      </c>
      <c r="Z10" s="15" t="str">
        <f t="shared" si="0"/>
        <v>rokprognozy=2034 i lp=7</v>
      </c>
      <c r="AA10" s="15" t="str">
        <f t="shared" si="0"/>
        <v>rokprognozy=2035 i lp=7</v>
      </c>
      <c r="AB10" s="15" t="str">
        <f t="shared" si="0"/>
        <v>rokprognozy=2036 i lp=7</v>
      </c>
      <c r="AC10" s="15" t="str">
        <f t="shared" si="0"/>
        <v>rokprognozy=2037 i lp=7</v>
      </c>
      <c r="AD10" s="15" t="str">
        <f t="shared" si="0"/>
        <v>rokprognozy=2038 i lp=7</v>
      </c>
      <c r="AE10" s="15" t="str">
        <f t="shared" si="0"/>
        <v>rokprognozy=2039 i lp=7</v>
      </c>
      <c r="AF10" s="15" t="str">
        <f t="shared" si="0"/>
        <v>rokprognozy=2040 i lp=7</v>
      </c>
      <c r="AG10" s="15" t="str">
        <f t="shared" si="1"/>
        <v>rokprognozy=2041 i lp=7</v>
      </c>
      <c r="AH10" s="15" t="str">
        <f t="shared" si="1"/>
        <v>rokprognozy=2042 i lp=7</v>
      </c>
      <c r="AI10" s="15" t="str">
        <f t="shared" si="1"/>
        <v>rokprognozy=2043 i lp=7</v>
      </c>
      <c r="AJ10" s="15" t="str">
        <f t="shared" si="1"/>
        <v>rokprognozy=2044 i lp=7</v>
      </c>
      <c r="AK10" s="15" t="str">
        <f t="shared" si="1"/>
        <v>rokprognozy=2045 i lp=7</v>
      </c>
      <c r="AL10" s="15" t="str">
        <f t="shared" si="1"/>
        <v>rokprognozy=2046 i lp=7</v>
      </c>
      <c r="AM10" s="15" t="str">
        <f t="shared" si="1"/>
        <v>rokprognozy=2047 i lp=7</v>
      </c>
      <c r="AN10" s="15" t="str">
        <f t="shared" si="1"/>
        <v>rokprognozy=2048 i lp=7</v>
      </c>
      <c r="AO10" s="15" t="str">
        <f t="shared" si="1"/>
        <v>rokprognozy=2049 i lp=7</v>
      </c>
      <c r="AP10" s="15" t="str">
        <f t="shared" si="1"/>
        <v>rokprognozy=2050 i lp=7</v>
      </c>
    </row>
    <row r="11" spans="1:42" ht="14.25" customHeight="1">
      <c r="A11" s="5">
        <v>8</v>
      </c>
      <c r="B11" s="17" t="s">
        <v>43</v>
      </c>
      <c r="C11" s="1" t="s">
        <v>44</v>
      </c>
      <c r="D11" s="15" t="str">
        <f t="shared" si="2"/>
        <v>rokprognozy=2012 i lp=8</v>
      </c>
      <c r="E11" s="15" t="str">
        <f t="shared" si="2"/>
        <v>rokprognozy=2013 i lp=8</v>
      </c>
      <c r="F11" s="15" t="str">
        <f t="shared" si="2"/>
        <v>rokprognozy=2014 i lp=8</v>
      </c>
      <c r="G11" s="15" t="str">
        <f t="shared" si="2"/>
        <v>rokprognozy=2015 i lp=8</v>
      </c>
      <c r="H11" s="15" t="str">
        <f t="shared" si="2"/>
        <v>rokprognozy=2016 i lp=8</v>
      </c>
      <c r="I11" s="15" t="str">
        <f t="shared" si="2"/>
        <v>rokprognozy=2017 i lp=8</v>
      </c>
      <c r="J11" s="15" t="str">
        <f t="shared" si="2"/>
        <v>rokprognozy=2018 i lp=8</v>
      </c>
      <c r="K11" s="15" t="str">
        <f t="shared" si="2"/>
        <v>rokprognozy=2019 i lp=8</v>
      </c>
      <c r="L11" s="15" t="str">
        <f t="shared" si="2"/>
        <v>rokprognozy=2020 i lp=8</v>
      </c>
      <c r="M11" s="15" t="str">
        <f t="shared" si="0"/>
        <v>rokprognozy=2021 i lp=8</v>
      </c>
      <c r="N11" s="15" t="str">
        <f t="shared" si="0"/>
        <v>rokprognozy=2022 i lp=8</v>
      </c>
      <c r="O11" s="15" t="str">
        <f t="shared" si="0"/>
        <v>rokprognozy=2023 i lp=8</v>
      </c>
      <c r="P11" s="15" t="str">
        <f t="shared" si="0"/>
        <v>rokprognozy=2024 i lp=8</v>
      </c>
      <c r="Q11" s="15" t="str">
        <f t="shared" si="0"/>
        <v>rokprognozy=2025 i lp=8</v>
      </c>
      <c r="R11" s="15" t="str">
        <f t="shared" si="0"/>
        <v>rokprognozy=2026 i lp=8</v>
      </c>
      <c r="S11" s="15" t="str">
        <f t="shared" si="0"/>
        <v>rokprognozy=2027 i lp=8</v>
      </c>
      <c r="T11" s="15" t="str">
        <f t="shared" si="0"/>
        <v>rokprognozy=2028 i lp=8</v>
      </c>
      <c r="U11" s="15" t="str">
        <f t="shared" si="0"/>
        <v>rokprognozy=2029 i lp=8</v>
      </c>
      <c r="V11" s="15" t="str">
        <f t="shared" si="0"/>
        <v>rokprognozy=2030 i lp=8</v>
      </c>
      <c r="W11" s="15" t="str">
        <f t="shared" si="0"/>
        <v>rokprognozy=2031 i lp=8</v>
      </c>
      <c r="X11" s="15" t="str">
        <f t="shared" si="0"/>
        <v>rokprognozy=2032 i lp=8</v>
      </c>
      <c r="Y11" s="15" t="str">
        <f t="shared" si="0"/>
        <v>rokprognozy=2033 i lp=8</v>
      </c>
      <c r="Z11" s="15" t="str">
        <f t="shared" si="0"/>
        <v>rokprognozy=2034 i lp=8</v>
      </c>
      <c r="AA11" s="15" t="str">
        <f t="shared" si="0"/>
        <v>rokprognozy=2035 i lp=8</v>
      </c>
      <c r="AB11" s="15" t="str">
        <f t="shared" si="0"/>
        <v>rokprognozy=2036 i lp=8</v>
      </c>
      <c r="AC11" s="15" t="str">
        <f t="shared" si="0"/>
        <v>rokprognozy=2037 i lp=8</v>
      </c>
      <c r="AD11" s="15" t="str">
        <f t="shared" si="0"/>
        <v>rokprognozy=2038 i lp=8</v>
      </c>
      <c r="AE11" s="15" t="str">
        <f t="shared" si="0"/>
        <v>rokprognozy=2039 i lp=8</v>
      </c>
      <c r="AF11" s="15" t="str">
        <f t="shared" si="0"/>
        <v>rokprognozy=2040 i lp=8</v>
      </c>
      <c r="AG11" s="15" t="str">
        <f t="shared" si="1"/>
        <v>rokprognozy=2041 i lp=8</v>
      </c>
      <c r="AH11" s="15" t="str">
        <f t="shared" si="1"/>
        <v>rokprognozy=2042 i lp=8</v>
      </c>
      <c r="AI11" s="15" t="str">
        <f t="shared" si="1"/>
        <v>rokprognozy=2043 i lp=8</v>
      </c>
      <c r="AJ11" s="15" t="str">
        <f t="shared" si="1"/>
        <v>rokprognozy=2044 i lp=8</v>
      </c>
      <c r="AK11" s="15" t="str">
        <f t="shared" si="1"/>
        <v>rokprognozy=2045 i lp=8</v>
      </c>
      <c r="AL11" s="15" t="str">
        <f t="shared" si="1"/>
        <v>rokprognozy=2046 i lp=8</v>
      </c>
      <c r="AM11" s="15" t="str">
        <f t="shared" si="1"/>
        <v>rokprognozy=2047 i lp=8</v>
      </c>
      <c r="AN11" s="15" t="str">
        <f t="shared" si="1"/>
        <v>rokprognozy=2048 i lp=8</v>
      </c>
      <c r="AO11" s="15" t="str">
        <f t="shared" si="1"/>
        <v>rokprognozy=2049 i lp=8</v>
      </c>
      <c r="AP11" s="15" t="str">
        <f t="shared" si="1"/>
        <v>rokprognozy=2050 i lp=8</v>
      </c>
    </row>
    <row r="12" spans="1:42">
      <c r="A12" s="5">
        <v>9</v>
      </c>
      <c r="B12" s="17" t="s">
        <v>45</v>
      </c>
      <c r="C12" s="1" t="s">
        <v>46</v>
      </c>
      <c r="D12" s="15" t="str">
        <f t="shared" si="2"/>
        <v>rokprognozy=2012 i lp=9</v>
      </c>
      <c r="E12" s="15" t="str">
        <f t="shared" si="2"/>
        <v>rokprognozy=2013 i lp=9</v>
      </c>
      <c r="F12" s="15" t="str">
        <f t="shared" si="2"/>
        <v>rokprognozy=2014 i lp=9</v>
      </c>
      <c r="G12" s="15" t="str">
        <f t="shared" si="2"/>
        <v>rokprognozy=2015 i lp=9</v>
      </c>
      <c r="H12" s="15" t="str">
        <f t="shared" si="2"/>
        <v>rokprognozy=2016 i lp=9</v>
      </c>
      <c r="I12" s="15" t="str">
        <f t="shared" si="2"/>
        <v>rokprognozy=2017 i lp=9</v>
      </c>
      <c r="J12" s="15" t="str">
        <f t="shared" si="2"/>
        <v>rokprognozy=2018 i lp=9</v>
      </c>
      <c r="K12" s="15" t="str">
        <f t="shared" si="2"/>
        <v>rokprognozy=2019 i lp=9</v>
      </c>
      <c r="L12" s="15" t="str">
        <f t="shared" si="2"/>
        <v>rokprognozy=2020 i lp=9</v>
      </c>
      <c r="M12" s="15" t="str">
        <f t="shared" si="0"/>
        <v>rokprognozy=2021 i lp=9</v>
      </c>
      <c r="N12" s="15" t="str">
        <f t="shared" si="0"/>
        <v>rokprognozy=2022 i lp=9</v>
      </c>
      <c r="O12" s="15" t="str">
        <f t="shared" si="0"/>
        <v>rokprognozy=2023 i lp=9</v>
      </c>
      <c r="P12" s="15" t="str">
        <f t="shared" si="0"/>
        <v>rokprognozy=2024 i lp=9</v>
      </c>
      <c r="Q12" s="15" t="str">
        <f t="shared" si="0"/>
        <v>rokprognozy=2025 i lp=9</v>
      </c>
      <c r="R12" s="15" t="str">
        <f t="shared" si="0"/>
        <v>rokprognozy=2026 i lp=9</v>
      </c>
      <c r="S12" s="15" t="str">
        <f t="shared" si="0"/>
        <v>rokprognozy=2027 i lp=9</v>
      </c>
      <c r="T12" s="15" t="str">
        <f t="shared" si="0"/>
        <v>rokprognozy=2028 i lp=9</v>
      </c>
      <c r="U12" s="15" t="str">
        <f t="shared" si="0"/>
        <v>rokprognozy=2029 i lp=9</v>
      </c>
      <c r="V12" s="15" t="str">
        <f t="shared" si="0"/>
        <v>rokprognozy=2030 i lp=9</v>
      </c>
      <c r="W12" s="15" t="str">
        <f t="shared" si="0"/>
        <v>rokprognozy=2031 i lp=9</v>
      </c>
      <c r="X12" s="15" t="str">
        <f t="shared" si="0"/>
        <v>rokprognozy=2032 i lp=9</v>
      </c>
      <c r="Y12" s="15" t="str">
        <f t="shared" si="0"/>
        <v>rokprognozy=2033 i lp=9</v>
      </c>
      <c r="Z12" s="15" t="str">
        <f t="shared" si="0"/>
        <v>rokprognozy=2034 i lp=9</v>
      </c>
      <c r="AA12" s="15" t="str">
        <f t="shared" si="0"/>
        <v>rokprognozy=2035 i lp=9</v>
      </c>
      <c r="AB12" s="15" t="str">
        <f t="shared" si="0"/>
        <v>rokprognozy=2036 i lp=9</v>
      </c>
      <c r="AC12" s="15" t="str">
        <f t="shared" si="0"/>
        <v>rokprognozy=2037 i lp=9</v>
      </c>
      <c r="AD12" s="15" t="str">
        <f t="shared" si="0"/>
        <v>rokprognozy=2038 i lp=9</v>
      </c>
      <c r="AE12" s="15" t="str">
        <f t="shared" si="0"/>
        <v>rokprognozy=2039 i lp=9</v>
      </c>
      <c r="AF12" s="15" t="str">
        <f t="shared" si="0"/>
        <v>rokprognozy=2040 i lp=9</v>
      </c>
      <c r="AG12" s="15" t="str">
        <f t="shared" si="1"/>
        <v>rokprognozy=2041 i lp=9</v>
      </c>
      <c r="AH12" s="15" t="str">
        <f t="shared" si="1"/>
        <v>rokprognozy=2042 i lp=9</v>
      </c>
      <c r="AI12" s="15" t="str">
        <f t="shared" si="1"/>
        <v>rokprognozy=2043 i lp=9</v>
      </c>
      <c r="AJ12" s="15" t="str">
        <f t="shared" si="1"/>
        <v>rokprognozy=2044 i lp=9</v>
      </c>
      <c r="AK12" s="15" t="str">
        <f t="shared" si="1"/>
        <v>rokprognozy=2045 i lp=9</v>
      </c>
      <c r="AL12" s="15" t="str">
        <f t="shared" si="1"/>
        <v>rokprognozy=2046 i lp=9</v>
      </c>
      <c r="AM12" s="15" t="str">
        <f t="shared" si="1"/>
        <v>rokprognozy=2047 i lp=9</v>
      </c>
      <c r="AN12" s="15" t="str">
        <f t="shared" si="1"/>
        <v>rokprognozy=2048 i lp=9</v>
      </c>
      <c r="AO12" s="15" t="str">
        <f t="shared" si="1"/>
        <v>rokprognozy=2049 i lp=9</v>
      </c>
      <c r="AP12" s="15" t="str">
        <f t="shared" si="1"/>
        <v>rokprognozy=2050 i lp=9</v>
      </c>
    </row>
    <row r="13" spans="1:42" ht="14.25" customHeight="1">
      <c r="A13" s="5">
        <v>10</v>
      </c>
      <c r="B13" s="17" t="s">
        <v>47</v>
      </c>
      <c r="C13" s="1" t="s">
        <v>48</v>
      </c>
      <c r="D13" s="15" t="str">
        <f t="shared" si="2"/>
        <v>rokprognozy=2012 i lp=10</v>
      </c>
      <c r="E13" s="15" t="str">
        <f t="shared" si="2"/>
        <v>rokprognozy=2013 i lp=10</v>
      </c>
      <c r="F13" s="15" t="str">
        <f t="shared" si="2"/>
        <v>rokprognozy=2014 i lp=10</v>
      </c>
      <c r="G13" s="15" t="str">
        <f t="shared" si="2"/>
        <v>rokprognozy=2015 i lp=10</v>
      </c>
      <c r="H13" s="15" t="str">
        <f t="shared" si="2"/>
        <v>rokprognozy=2016 i lp=10</v>
      </c>
      <c r="I13" s="15" t="str">
        <f t="shared" si="2"/>
        <v>rokprognozy=2017 i lp=10</v>
      </c>
      <c r="J13" s="15" t="str">
        <f t="shared" si="2"/>
        <v>rokprognozy=2018 i lp=10</v>
      </c>
      <c r="K13" s="15" t="str">
        <f t="shared" si="2"/>
        <v>rokprognozy=2019 i lp=10</v>
      </c>
      <c r="L13" s="15" t="str">
        <f t="shared" si="2"/>
        <v>rokprognozy=2020 i lp=10</v>
      </c>
      <c r="M13" s="15" t="str">
        <f t="shared" si="0"/>
        <v>rokprognozy=2021 i lp=10</v>
      </c>
      <c r="N13" s="15" t="str">
        <f t="shared" si="0"/>
        <v>rokprognozy=2022 i lp=10</v>
      </c>
      <c r="O13" s="15" t="str">
        <f t="shared" si="0"/>
        <v>rokprognozy=2023 i lp=10</v>
      </c>
      <c r="P13" s="15" t="str">
        <f t="shared" si="0"/>
        <v>rokprognozy=2024 i lp=10</v>
      </c>
      <c r="Q13" s="15" t="str">
        <f t="shared" si="0"/>
        <v>rokprognozy=2025 i lp=10</v>
      </c>
      <c r="R13" s="15" t="str">
        <f t="shared" si="0"/>
        <v>rokprognozy=2026 i lp=10</v>
      </c>
      <c r="S13" s="15" t="str">
        <f t="shared" si="0"/>
        <v>rokprognozy=2027 i lp=10</v>
      </c>
      <c r="T13" s="15" t="str">
        <f t="shared" si="0"/>
        <v>rokprognozy=2028 i lp=10</v>
      </c>
      <c r="U13" s="15" t="str">
        <f t="shared" si="0"/>
        <v>rokprognozy=2029 i lp=10</v>
      </c>
      <c r="V13" s="15" t="str">
        <f t="shared" si="0"/>
        <v>rokprognozy=2030 i lp=10</v>
      </c>
      <c r="W13" s="15" t="str">
        <f t="shared" si="0"/>
        <v>rokprognozy=2031 i lp=10</v>
      </c>
      <c r="X13" s="15" t="str">
        <f t="shared" si="0"/>
        <v>rokprognozy=2032 i lp=10</v>
      </c>
      <c r="Y13" s="15" t="str">
        <f t="shared" si="0"/>
        <v>rokprognozy=2033 i lp=10</v>
      </c>
      <c r="Z13" s="15" t="str">
        <f t="shared" si="0"/>
        <v>rokprognozy=2034 i lp=10</v>
      </c>
      <c r="AA13" s="15" t="str">
        <f t="shared" si="0"/>
        <v>rokprognozy=2035 i lp=10</v>
      </c>
      <c r="AB13" s="15" t="str">
        <f t="shared" si="0"/>
        <v>rokprognozy=2036 i lp=10</v>
      </c>
      <c r="AC13" s="15" t="str">
        <f t="shared" si="0"/>
        <v>rokprognozy=2037 i lp=10</v>
      </c>
      <c r="AD13" s="15" t="str">
        <f t="shared" si="0"/>
        <v>rokprognozy=2038 i lp=10</v>
      </c>
      <c r="AE13" s="15" t="str">
        <f t="shared" si="0"/>
        <v>rokprognozy=2039 i lp=10</v>
      </c>
      <c r="AF13" s="15" t="str">
        <f t="shared" si="0"/>
        <v>rokprognozy=2040 i lp=10</v>
      </c>
      <c r="AG13" s="15" t="str">
        <f t="shared" si="1"/>
        <v>rokprognozy=2041 i lp=10</v>
      </c>
      <c r="AH13" s="15" t="str">
        <f t="shared" si="1"/>
        <v>rokprognozy=2042 i lp=10</v>
      </c>
      <c r="AI13" s="15" t="str">
        <f t="shared" si="1"/>
        <v>rokprognozy=2043 i lp=10</v>
      </c>
      <c r="AJ13" s="15" t="str">
        <f t="shared" si="1"/>
        <v>rokprognozy=2044 i lp=10</v>
      </c>
      <c r="AK13" s="15" t="str">
        <f t="shared" si="1"/>
        <v>rokprognozy=2045 i lp=10</v>
      </c>
      <c r="AL13" s="15" t="str">
        <f t="shared" si="1"/>
        <v>rokprognozy=2046 i lp=10</v>
      </c>
      <c r="AM13" s="15" t="str">
        <f t="shared" si="1"/>
        <v>rokprognozy=2047 i lp=10</v>
      </c>
      <c r="AN13" s="15" t="str">
        <f t="shared" si="1"/>
        <v>rokprognozy=2048 i lp=10</v>
      </c>
      <c r="AO13" s="15" t="str">
        <f t="shared" si="1"/>
        <v>rokprognozy=2049 i lp=10</v>
      </c>
      <c r="AP13" s="15" t="str">
        <f t="shared" si="1"/>
        <v>rokprognozy=2050 i lp=10</v>
      </c>
    </row>
    <row r="14" spans="1:42" ht="14.25" customHeight="1">
      <c r="A14" s="7">
        <v>11</v>
      </c>
      <c r="B14" s="17" t="s">
        <v>49</v>
      </c>
      <c r="C14" s="23" t="s">
        <v>50</v>
      </c>
      <c r="D14" s="15" t="str">
        <f t="shared" si="2"/>
        <v>rokprognozy=2012 i lp=11</v>
      </c>
      <c r="E14" s="15" t="str">
        <f t="shared" si="2"/>
        <v>rokprognozy=2013 i lp=11</v>
      </c>
      <c r="F14" s="15" t="str">
        <f t="shared" si="2"/>
        <v>rokprognozy=2014 i lp=11</v>
      </c>
      <c r="G14" s="15" t="str">
        <f t="shared" si="2"/>
        <v>rokprognozy=2015 i lp=11</v>
      </c>
      <c r="H14" s="15" t="str">
        <f t="shared" si="2"/>
        <v>rokprognozy=2016 i lp=11</v>
      </c>
      <c r="I14" s="15" t="str">
        <f t="shared" si="2"/>
        <v>rokprognozy=2017 i lp=11</v>
      </c>
      <c r="J14" s="15" t="str">
        <f t="shared" si="2"/>
        <v>rokprognozy=2018 i lp=11</v>
      </c>
      <c r="K14" s="15" t="str">
        <f t="shared" si="2"/>
        <v>rokprognozy=2019 i lp=11</v>
      </c>
      <c r="L14" s="15" t="str">
        <f t="shared" si="2"/>
        <v>rokprognozy=2020 i lp=11</v>
      </c>
      <c r="M14" s="15" t="str">
        <f t="shared" si="0"/>
        <v>rokprognozy=2021 i lp=11</v>
      </c>
      <c r="N14" s="15" t="str">
        <f t="shared" si="0"/>
        <v>rokprognozy=2022 i lp=11</v>
      </c>
      <c r="O14" s="15" t="str">
        <f t="shared" si="0"/>
        <v>rokprognozy=2023 i lp=11</v>
      </c>
      <c r="P14" s="15" t="str">
        <f t="shared" si="0"/>
        <v>rokprognozy=2024 i lp=11</v>
      </c>
      <c r="Q14" s="15" t="str">
        <f t="shared" si="0"/>
        <v>rokprognozy=2025 i lp=11</v>
      </c>
      <c r="R14" s="15" t="str">
        <f t="shared" si="0"/>
        <v>rokprognozy=2026 i lp=11</v>
      </c>
      <c r="S14" s="15" t="str">
        <f t="shared" si="0"/>
        <v>rokprognozy=2027 i lp=11</v>
      </c>
      <c r="T14" s="15" t="str">
        <f t="shared" si="0"/>
        <v>rokprognozy=2028 i lp=11</v>
      </c>
      <c r="U14" s="15" t="str">
        <f t="shared" si="0"/>
        <v>rokprognozy=2029 i lp=11</v>
      </c>
      <c r="V14" s="15" t="str">
        <f t="shared" si="0"/>
        <v>rokprognozy=2030 i lp=11</v>
      </c>
      <c r="W14" s="15" t="str">
        <f t="shared" si="0"/>
        <v>rokprognozy=2031 i lp=11</v>
      </c>
      <c r="X14" s="15" t="str">
        <f t="shared" si="0"/>
        <v>rokprognozy=2032 i lp=11</v>
      </c>
      <c r="Y14" s="15" t="str">
        <f t="shared" si="0"/>
        <v>rokprognozy=2033 i lp=11</v>
      </c>
      <c r="Z14" s="15" t="str">
        <f t="shared" si="0"/>
        <v>rokprognozy=2034 i lp=11</v>
      </c>
      <c r="AA14" s="15" t="str">
        <f t="shared" si="0"/>
        <v>rokprognozy=2035 i lp=11</v>
      </c>
      <c r="AB14" s="15" t="str">
        <f t="shared" si="0"/>
        <v>rokprognozy=2036 i lp=11</v>
      </c>
      <c r="AC14" s="15" t="str">
        <f t="shared" si="0"/>
        <v>rokprognozy=2037 i lp=11</v>
      </c>
      <c r="AD14" s="15" t="str">
        <f t="shared" si="0"/>
        <v>rokprognozy=2038 i lp=11</v>
      </c>
      <c r="AE14" s="15" t="str">
        <f t="shared" si="0"/>
        <v>rokprognozy=2039 i lp=11</v>
      </c>
      <c r="AF14" s="15" t="str">
        <f t="shared" si="0"/>
        <v>rokprognozy=2040 i lp=11</v>
      </c>
      <c r="AG14" s="15" t="str">
        <f t="shared" si="1"/>
        <v>rokprognozy=2041 i lp=11</v>
      </c>
      <c r="AH14" s="15" t="str">
        <f t="shared" si="1"/>
        <v>rokprognozy=2042 i lp=11</v>
      </c>
      <c r="AI14" s="15" t="str">
        <f t="shared" si="1"/>
        <v>rokprognozy=2043 i lp=11</v>
      </c>
      <c r="AJ14" s="15" t="str">
        <f t="shared" si="1"/>
        <v>rokprognozy=2044 i lp=11</v>
      </c>
      <c r="AK14" s="15" t="str">
        <f t="shared" si="1"/>
        <v>rokprognozy=2045 i lp=11</v>
      </c>
      <c r="AL14" s="15" t="str">
        <f t="shared" si="1"/>
        <v>rokprognozy=2046 i lp=11</v>
      </c>
      <c r="AM14" s="15" t="str">
        <f t="shared" si="1"/>
        <v>rokprognozy=2047 i lp=11</v>
      </c>
      <c r="AN14" s="15" t="str">
        <f t="shared" si="1"/>
        <v>rokprognozy=2048 i lp=11</v>
      </c>
      <c r="AO14" s="15" t="str">
        <f t="shared" si="1"/>
        <v>rokprognozy=2049 i lp=11</v>
      </c>
      <c r="AP14" s="15" t="str">
        <f t="shared" si="1"/>
        <v>rokprognozy=2050 i lp=11</v>
      </c>
    </row>
    <row r="15" spans="1:42" ht="14.25" customHeight="1">
      <c r="A15" s="6">
        <v>12</v>
      </c>
      <c r="B15" s="17" t="s">
        <v>51</v>
      </c>
      <c r="C15" s="19" t="s">
        <v>52</v>
      </c>
      <c r="D15" s="15" t="str">
        <f t="shared" si="2"/>
        <v>rokprognozy=2012 i lp=12</v>
      </c>
      <c r="E15" s="15" t="str">
        <f t="shared" si="2"/>
        <v>rokprognozy=2013 i lp=12</v>
      </c>
      <c r="F15" s="15" t="str">
        <f t="shared" si="2"/>
        <v>rokprognozy=2014 i lp=12</v>
      </c>
      <c r="G15" s="15" t="str">
        <f t="shared" si="2"/>
        <v>rokprognozy=2015 i lp=12</v>
      </c>
      <c r="H15" s="15" t="str">
        <f t="shared" si="2"/>
        <v>rokprognozy=2016 i lp=12</v>
      </c>
      <c r="I15" s="15" t="str">
        <f t="shared" si="2"/>
        <v>rokprognozy=2017 i lp=12</v>
      </c>
      <c r="J15" s="15" t="str">
        <f t="shared" si="2"/>
        <v>rokprognozy=2018 i lp=12</v>
      </c>
      <c r="K15" s="15" t="str">
        <f t="shared" si="2"/>
        <v>rokprognozy=2019 i lp=12</v>
      </c>
      <c r="L15" s="15" t="str">
        <f t="shared" si="2"/>
        <v>rokprognozy=2020 i lp=12</v>
      </c>
      <c r="M15" s="15" t="str">
        <f t="shared" si="0"/>
        <v>rokprognozy=2021 i lp=12</v>
      </c>
      <c r="N15" s="15" t="str">
        <f t="shared" si="0"/>
        <v>rokprognozy=2022 i lp=12</v>
      </c>
      <c r="O15" s="15" t="str">
        <f t="shared" si="0"/>
        <v>rokprognozy=2023 i lp=12</v>
      </c>
      <c r="P15" s="15" t="str">
        <f t="shared" si="0"/>
        <v>rokprognozy=2024 i lp=12</v>
      </c>
      <c r="Q15" s="15" t="str">
        <f t="shared" si="0"/>
        <v>rokprognozy=2025 i lp=12</v>
      </c>
      <c r="R15" s="15" t="str">
        <f t="shared" si="0"/>
        <v>rokprognozy=2026 i lp=12</v>
      </c>
      <c r="S15" s="15" t="str">
        <f t="shared" si="0"/>
        <v>rokprognozy=2027 i lp=12</v>
      </c>
      <c r="T15" s="15" t="str">
        <f t="shared" si="0"/>
        <v>rokprognozy=2028 i lp=12</v>
      </c>
      <c r="U15" s="15" t="str">
        <f t="shared" si="0"/>
        <v>rokprognozy=2029 i lp=12</v>
      </c>
      <c r="V15" s="15" t="str">
        <f t="shared" si="0"/>
        <v>rokprognozy=2030 i lp=12</v>
      </c>
      <c r="W15" s="15" t="str">
        <f t="shared" si="0"/>
        <v>rokprognozy=2031 i lp=12</v>
      </c>
      <c r="X15" s="15" t="str">
        <f t="shared" si="0"/>
        <v>rokprognozy=2032 i lp=12</v>
      </c>
      <c r="Y15" s="15" t="str">
        <f t="shared" si="0"/>
        <v>rokprognozy=2033 i lp=12</v>
      </c>
      <c r="Z15" s="15" t="str">
        <f t="shared" si="0"/>
        <v>rokprognozy=2034 i lp=12</v>
      </c>
      <c r="AA15" s="15" t="str">
        <f t="shared" si="0"/>
        <v>rokprognozy=2035 i lp=12</v>
      </c>
      <c r="AB15" s="15" t="str">
        <f t="shared" si="0"/>
        <v>rokprognozy=2036 i lp=12</v>
      </c>
      <c r="AC15" s="15" t="str">
        <f t="shared" si="0"/>
        <v>rokprognozy=2037 i lp=12</v>
      </c>
      <c r="AD15" s="15" t="str">
        <f t="shared" si="0"/>
        <v>rokprognozy=2038 i lp=12</v>
      </c>
      <c r="AE15" s="15" t="str">
        <f t="shared" si="0"/>
        <v>rokprognozy=2039 i lp=12</v>
      </c>
      <c r="AF15" s="15" t="str">
        <f t="shared" si="0"/>
        <v>rokprognozy=2040 i lp=12</v>
      </c>
      <c r="AG15" s="15" t="str">
        <f t="shared" si="1"/>
        <v>rokprognozy=2041 i lp=12</v>
      </c>
      <c r="AH15" s="15" t="str">
        <f t="shared" si="1"/>
        <v>rokprognozy=2042 i lp=12</v>
      </c>
      <c r="AI15" s="15" t="str">
        <f t="shared" si="1"/>
        <v>rokprognozy=2043 i lp=12</v>
      </c>
      <c r="AJ15" s="15" t="str">
        <f t="shared" si="1"/>
        <v>rokprognozy=2044 i lp=12</v>
      </c>
      <c r="AK15" s="15" t="str">
        <f t="shared" si="1"/>
        <v>rokprognozy=2045 i lp=12</v>
      </c>
      <c r="AL15" s="15" t="str">
        <f t="shared" si="1"/>
        <v>rokprognozy=2046 i lp=12</v>
      </c>
      <c r="AM15" s="15" t="str">
        <f t="shared" si="1"/>
        <v>rokprognozy=2047 i lp=12</v>
      </c>
      <c r="AN15" s="15" t="str">
        <f t="shared" si="1"/>
        <v>rokprognozy=2048 i lp=12</v>
      </c>
      <c r="AO15" s="15" t="str">
        <f t="shared" si="1"/>
        <v>rokprognozy=2049 i lp=12</v>
      </c>
      <c r="AP15" s="15" t="str">
        <f t="shared" si="1"/>
        <v>rokprognozy=2050 i lp=12</v>
      </c>
    </row>
    <row r="16" spans="1:42" ht="14.25" customHeight="1">
      <c r="A16" s="5">
        <v>13</v>
      </c>
      <c r="B16" s="17" t="s">
        <v>53</v>
      </c>
      <c r="C16" s="1" t="s">
        <v>54</v>
      </c>
      <c r="D16" s="15" t="str">
        <f t="shared" si="2"/>
        <v>rokprognozy=2012 i lp=13</v>
      </c>
      <c r="E16" s="15" t="str">
        <f t="shared" si="2"/>
        <v>rokprognozy=2013 i lp=13</v>
      </c>
      <c r="F16" s="15" t="str">
        <f t="shared" si="2"/>
        <v>rokprognozy=2014 i lp=13</v>
      </c>
      <c r="G16" s="15" t="str">
        <f t="shared" si="2"/>
        <v>rokprognozy=2015 i lp=13</v>
      </c>
      <c r="H16" s="15" t="str">
        <f t="shared" si="2"/>
        <v>rokprognozy=2016 i lp=13</v>
      </c>
      <c r="I16" s="15" t="str">
        <f t="shared" si="2"/>
        <v>rokprognozy=2017 i lp=13</v>
      </c>
      <c r="J16" s="15" t="str">
        <f t="shared" si="2"/>
        <v>rokprognozy=2018 i lp=13</v>
      </c>
      <c r="K16" s="15" t="str">
        <f t="shared" si="2"/>
        <v>rokprognozy=2019 i lp=13</v>
      </c>
      <c r="L16" s="15" t="str">
        <f t="shared" si="2"/>
        <v>rokprognozy=2020 i lp=13</v>
      </c>
      <c r="M16" s="15" t="str">
        <f t="shared" si="0"/>
        <v>rokprognozy=2021 i lp=13</v>
      </c>
      <c r="N16" s="15" t="str">
        <f t="shared" si="0"/>
        <v>rokprognozy=2022 i lp=13</v>
      </c>
      <c r="O16" s="15" t="str">
        <f t="shared" si="0"/>
        <v>rokprognozy=2023 i lp=13</v>
      </c>
      <c r="P16" s="15" t="str">
        <f t="shared" si="0"/>
        <v>rokprognozy=2024 i lp=13</v>
      </c>
      <c r="Q16" s="15" t="str">
        <f t="shared" si="0"/>
        <v>rokprognozy=2025 i lp=13</v>
      </c>
      <c r="R16" s="15" t="str">
        <f t="shared" si="0"/>
        <v>rokprognozy=2026 i lp=13</v>
      </c>
      <c r="S16" s="15" t="str">
        <f t="shared" ref="S16:AP16" si="3">+"rokprognozy="&amp;S$3&amp;" i lp="&amp;$A16</f>
        <v>rokprognozy=2027 i lp=13</v>
      </c>
      <c r="T16" s="15" t="str">
        <f t="shared" si="3"/>
        <v>rokprognozy=2028 i lp=13</v>
      </c>
      <c r="U16" s="15" t="str">
        <f t="shared" si="3"/>
        <v>rokprognozy=2029 i lp=13</v>
      </c>
      <c r="V16" s="15" t="str">
        <f t="shared" si="3"/>
        <v>rokprognozy=2030 i lp=13</v>
      </c>
      <c r="W16" s="15" t="str">
        <f t="shared" si="3"/>
        <v>rokprognozy=2031 i lp=13</v>
      </c>
      <c r="X16" s="15" t="str">
        <f t="shared" si="3"/>
        <v>rokprognozy=2032 i lp=13</v>
      </c>
      <c r="Y16" s="15" t="str">
        <f t="shared" si="3"/>
        <v>rokprognozy=2033 i lp=13</v>
      </c>
      <c r="Z16" s="15" t="str">
        <f t="shared" si="3"/>
        <v>rokprognozy=2034 i lp=13</v>
      </c>
      <c r="AA16" s="15" t="str">
        <f t="shared" si="3"/>
        <v>rokprognozy=2035 i lp=13</v>
      </c>
      <c r="AB16" s="15" t="str">
        <f t="shared" si="3"/>
        <v>rokprognozy=2036 i lp=13</v>
      </c>
      <c r="AC16" s="15" t="str">
        <f t="shared" si="3"/>
        <v>rokprognozy=2037 i lp=13</v>
      </c>
      <c r="AD16" s="15" t="str">
        <f t="shared" si="3"/>
        <v>rokprognozy=2038 i lp=13</v>
      </c>
      <c r="AE16" s="15" t="str">
        <f t="shared" si="3"/>
        <v>rokprognozy=2039 i lp=13</v>
      </c>
      <c r="AF16" s="15" t="str">
        <f t="shared" si="3"/>
        <v>rokprognozy=2040 i lp=13</v>
      </c>
      <c r="AG16" s="15" t="str">
        <f t="shared" si="3"/>
        <v>rokprognozy=2041 i lp=13</v>
      </c>
      <c r="AH16" s="15" t="str">
        <f t="shared" si="3"/>
        <v>rokprognozy=2042 i lp=13</v>
      </c>
      <c r="AI16" s="15" t="str">
        <f t="shared" si="3"/>
        <v>rokprognozy=2043 i lp=13</v>
      </c>
      <c r="AJ16" s="15" t="str">
        <f t="shared" si="3"/>
        <v>rokprognozy=2044 i lp=13</v>
      </c>
      <c r="AK16" s="15" t="str">
        <f t="shared" si="3"/>
        <v>rokprognozy=2045 i lp=13</v>
      </c>
      <c r="AL16" s="15" t="str">
        <f t="shared" si="3"/>
        <v>rokprognozy=2046 i lp=13</v>
      </c>
      <c r="AM16" s="15" t="str">
        <f t="shared" si="3"/>
        <v>rokprognozy=2047 i lp=13</v>
      </c>
      <c r="AN16" s="15" t="str">
        <f t="shared" si="3"/>
        <v>rokprognozy=2048 i lp=13</v>
      </c>
      <c r="AO16" s="15" t="str">
        <f t="shared" si="3"/>
        <v>rokprognozy=2049 i lp=13</v>
      </c>
      <c r="AP16" s="15" t="str">
        <f t="shared" si="3"/>
        <v>rokprognozy=2050 i lp=13</v>
      </c>
    </row>
    <row r="17" spans="1:42" ht="14.25" customHeight="1">
      <c r="A17" s="6">
        <v>14</v>
      </c>
      <c r="B17" s="17">
        <v>3</v>
      </c>
      <c r="C17" s="19" t="s">
        <v>55</v>
      </c>
      <c r="D17" s="15" t="str">
        <f t="shared" si="2"/>
        <v>rokprognozy=2012 i lp=14</v>
      </c>
      <c r="E17" s="15" t="str">
        <f t="shared" si="2"/>
        <v>rokprognozy=2013 i lp=14</v>
      </c>
      <c r="F17" s="15" t="str">
        <f t="shared" si="2"/>
        <v>rokprognozy=2014 i lp=14</v>
      </c>
      <c r="G17" s="15" t="str">
        <f t="shared" si="2"/>
        <v>rokprognozy=2015 i lp=14</v>
      </c>
      <c r="H17" s="15" t="str">
        <f t="shared" si="2"/>
        <v>rokprognozy=2016 i lp=14</v>
      </c>
      <c r="I17" s="15" t="str">
        <f t="shared" si="2"/>
        <v>rokprognozy=2017 i lp=14</v>
      </c>
      <c r="J17" s="15" t="str">
        <f t="shared" si="2"/>
        <v>rokprognozy=2018 i lp=14</v>
      </c>
      <c r="K17" s="15" t="str">
        <f t="shared" si="2"/>
        <v>rokprognozy=2019 i lp=14</v>
      </c>
      <c r="L17" s="15" t="str">
        <f t="shared" si="2"/>
        <v>rokprognozy=2020 i lp=14</v>
      </c>
      <c r="M17" s="15" t="str">
        <f t="shared" ref="M17:AB32" si="4">+"rokprognozy="&amp;M$3&amp;" i lp="&amp;$A17</f>
        <v>rokprognozy=2021 i lp=14</v>
      </c>
      <c r="N17" s="15" t="str">
        <f t="shared" si="4"/>
        <v>rokprognozy=2022 i lp=14</v>
      </c>
      <c r="O17" s="15" t="str">
        <f t="shared" si="4"/>
        <v>rokprognozy=2023 i lp=14</v>
      </c>
      <c r="P17" s="15" t="str">
        <f t="shared" si="4"/>
        <v>rokprognozy=2024 i lp=14</v>
      </c>
      <c r="Q17" s="15" t="str">
        <f t="shared" si="4"/>
        <v>rokprognozy=2025 i lp=14</v>
      </c>
      <c r="R17" s="15" t="str">
        <f t="shared" si="4"/>
        <v>rokprognozy=2026 i lp=14</v>
      </c>
      <c r="S17" s="15" t="str">
        <f t="shared" si="4"/>
        <v>rokprognozy=2027 i lp=14</v>
      </c>
      <c r="T17" s="15" t="str">
        <f t="shared" si="4"/>
        <v>rokprognozy=2028 i lp=14</v>
      </c>
      <c r="U17" s="15" t="str">
        <f t="shared" si="4"/>
        <v>rokprognozy=2029 i lp=14</v>
      </c>
      <c r="V17" s="15" t="str">
        <f t="shared" si="4"/>
        <v>rokprognozy=2030 i lp=14</v>
      </c>
      <c r="W17" s="15" t="str">
        <f t="shared" si="4"/>
        <v>rokprognozy=2031 i lp=14</v>
      </c>
      <c r="X17" s="15" t="str">
        <f t="shared" si="4"/>
        <v>rokprognozy=2032 i lp=14</v>
      </c>
      <c r="Y17" s="15" t="str">
        <f t="shared" si="4"/>
        <v>rokprognozy=2033 i lp=14</v>
      </c>
      <c r="Z17" s="15" t="str">
        <f t="shared" si="4"/>
        <v>rokprognozy=2034 i lp=14</v>
      </c>
      <c r="AA17" s="15" t="str">
        <f t="shared" si="4"/>
        <v>rokprognozy=2035 i lp=14</v>
      </c>
      <c r="AB17" s="15" t="str">
        <f t="shared" si="4"/>
        <v>rokprognozy=2036 i lp=14</v>
      </c>
      <c r="AC17" s="15" t="str">
        <f t="shared" ref="AC17:AP33" si="5">+"rokprognozy="&amp;AC$3&amp;" i lp="&amp;$A17</f>
        <v>rokprognozy=2037 i lp=14</v>
      </c>
      <c r="AD17" s="15" t="str">
        <f t="shared" si="5"/>
        <v>rokprognozy=2038 i lp=14</v>
      </c>
      <c r="AE17" s="15" t="str">
        <f t="shared" si="5"/>
        <v>rokprognozy=2039 i lp=14</v>
      </c>
      <c r="AF17" s="15" t="str">
        <f t="shared" si="5"/>
        <v>rokprognozy=2040 i lp=14</v>
      </c>
      <c r="AG17" s="15" t="str">
        <f t="shared" si="5"/>
        <v>rokprognozy=2041 i lp=14</v>
      </c>
      <c r="AH17" s="15" t="str">
        <f t="shared" si="5"/>
        <v>rokprognozy=2042 i lp=14</v>
      </c>
      <c r="AI17" s="15" t="str">
        <f t="shared" si="5"/>
        <v>rokprognozy=2043 i lp=14</v>
      </c>
      <c r="AJ17" s="15" t="str">
        <f t="shared" si="5"/>
        <v>rokprognozy=2044 i lp=14</v>
      </c>
      <c r="AK17" s="15" t="str">
        <f t="shared" si="5"/>
        <v>rokprognozy=2045 i lp=14</v>
      </c>
      <c r="AL17" s="15" t="str">
        <f t="shared" si="5"/>
        <v>rokprognozy=2046 i lp=14</v>
      </c>
      <c r="AM17" s="15" t="str">
        <f t="shared" si="5"/>
        <v>rokprognozy=2047 i lp=14</v>
      </c>
      <c r="AN17" s="15" t="str">
        <f t="shared" si="5"/>
        <v>rokprognozy=2048 i lp=14</v>
      </c>
      <c r="AO17" s="15" t="str">
        <f t="shared" si="5"/>
        <v>rokprognozy=2049 i lp=14</v>
      </c>
      <c r="AP17" s="15" t="str">
        <f t="shared" si="5"/>
        <v>rokprognozy=2050 i lp=14</v>
      </c>
    </row>
    <row r="18" spans="1:42" ht="14.25" customHeight="1">
      <c r="A18" s="7">
        <v>15</v>
      </c>
      <c r="B18" s="17">
        <v>4</v>
      </c>
      <c r="C18" s="18" t="s">
        <v>14</v>
      </c>
      <c r="D18" s="15" t="str">
        <f t="shared" si="2"/>
        <v>rokprognozy=2012 i lp=15</v>
      </c>
      <c r="E18" s="15" t="str">
        <f t="shared" si="2"/>
        <v>rokprognozy=2013 i lp=15</v>
      </c>
      <c r="F18" s="15" t="str">
        <f t="shared" si="2"/>
        <v>rokprognozy=2014 i lp=15</v>
      </c>
      <c r="G18" s="15" t="str">
        <f t="shared" si="2"/>
        <v>rokprognozy=2015 i lp=15</v>
      </c>
      <c r="H18" s="15" t="str">
        <f t="shared" si="2"/>
        <v>rokprognozy=2016 i lp=15</v>
      </c>
      <c r="I18" s="15" t="str">
        <f t="shared" si="2"/>
        <v>rokprognozy=2017 i lp=15</v>
      </c>
      <c r="J18" s="15" t="str">
        <f t="shared" si="2"/>
        <v>rokprognozy=2018 i lp=15</v>
      </c>
      <c r="K18" s="15" t="str">
        <f t="shared" si="2"/>
        <v>rokprognozy=2019 i lp=15</v>
      </c>
      <c r="L18" s="15" t="str">
        <f t="shared" si="2"/>
        <v>rokprognozy=2020 i lp=15</v>
      </c>
      <c r="M18" s="15" t="str">
        <f t="shared" si="4"/>
        <v>rokprognozy=2021 i lp=15</v>
      </c>
      <c r="N18" s="15" t="str">
        <f t="shared" si="4"/>
        <v>rokprognozy=2022 i lp=15</v>
      </c>
      <c r="O18" s="15" t="str">
        <f t="shared" si="4"/>
        <v>rokprognozy=2023 i lp=15</v>
      </c>
      <c r="P18" s="15" t="str">
        <f t="shared" si="4"/>
        <v>rokprognozy=2024 i lp=15</v>
      </c>
      <c r="Q18" s="15" t="str">
        <f t="shared" si="4"/>
        <v>rokprognozy=2025 i lp=15</v>
      </c>
      <c r="R18" s="15" t="str">
        <f t="shared" si="4"/>
        <v>rokprognozy=2026 i lp=15</v>
      </c>
      <c r="S18" s="15" t="str">
        <f t="shared" si="4"/>
        <v>rokprognozy=2027 i lp=15</v>
      </c>
      <c r="T18" s="15" t="str">
        <f t="shared" si="4"/>
        <v>rokprognozy=2028 i lp=15</v>
      </c>
      <c r="U18" s="15" t="str">
        <f t="shared" si="4"/>
        <v>rokprognozy=2029 i lp=15</v>
      </c>
      <c r="V18" s="15" t="str">
        <f t="shared" si="4"/>
        <v>rokprognozy=2030 i lp=15</v>
      </c>
      <c r="W18" s="15" t="str">
        <f t="shared" si="4"/>
        <v>rokprognozy=2031 i lp=15</v>
      </c>
      <c r="X18" s="15" t="str">
        <f t="shared" si="4"/>
        <v>rokprognozy=2032 i lp=15</v>
      </c>
      <c r="Y18" s="15" t="str">
        <f t="shared" si="4"/>
        <v>rokprognozy=2033 i lp=15</v>
      </c>
      <c r="Z18" s="15" t="str">
        <f t="shared" si="4"/>
        <v>rokprognozy=2034 i lp=15</v>
      </c>
      <c r="AA18" s="15" t="str">
        <f t="shared" si="4"/>
        <v>rokprognozy=2035 i lp=15</v>
      </c>
      <c r="AB18" s="15" t="str">
        <f t="shared" si="4"/>
        <v>rokprognozy=2036 i lp=15</v>
      </c>
      <c r="AC18" s="15" t="str">
        <f t="shared" si="5"/>
        <v>rokprognozy=2037 i lp=15</v>
      </c>
      <c r="AD18" s="15" t="str">
        <f t="shared" si="5"/>
        <v>rokprognozy=2038 i lp=15</v>
      </c>
      <c r="AE18" s="15" t="str">
        <f t="shared" si="5"/>
        <v>rokprognozy=2039 i lp=15</v>
      </c>
      <c r="AF18" s="15" t="str">
        <f t="shared" si="5"/>
        <v>rokprognozy=2040 i lp=15</v>
      </c>
      <c r="AG18" s="15" t="str">
        <f t="shared" si="5"/>
        <v>rokprognozy=2041 i lp=15</v>
      </c>
      <c r="AH18" s="15" t="str">
        <f t="shared" si="5"/>
        <v>rokprognozy=2042 i lp=15</v>
      </c>
      <c r="AI18" s="15" t="str">
        <f t="shared" si="5"/>
        <v>rokprognozy=2043 i lp=15</v>
      </c>
      <c r="AJ18" s="15" t="str">
        <f t="shared" si="5"/>
        <v>rokprognozy=2044 i lp=15</v>
      </c>
      <c r="AK18" s="15" t="str">
        <f t="shared" si="5"/>
        <v>rokprognozy=2045 i lp=15</v>
      </c>
      <c r="AL18" s="15" t="str">
        <f t="shared" si="5"/>
        <v>rokprognozy=2046 i lp=15</v>
      </c>
      <c r="AM18" s="15" t="str">
        <f t="shared" si="5"/>
        <v>rokprognozy=2047 i lp=15</v>
      </c>
      <c r="AN18" s="15" t="str">
        <f t="shared" si="5"/>
        <v>rokprognozy=2048 i lp=15</v>
      </c>
      <c r="AO18" s="15" t="str">
        <f t="shared" si="5"/>
        <v>rokprognozy=2049 i lp=15</v>
      </c>
      <c r="AP18" s="15" t="str">
        <f t="shared" si="5"/>
        <v>rokprognozy=2050 i lp=15</v>
      </c>
    </row>
    <row r="19" spans="1:42" ht="14.25" customHeight="1">
      <c r="A19" s="6">
        <v>16</v>
      </c>
      <c r="B19" s="17" t="s">
        <v>56</v>
      </c>
      <c r="C19" s="20" t="s">
        <v>57</v>
      </c>
      <c r="D19" s="15" t="str">
        <f t="shared" si="2"/>
        <v>rokprognozy=2012 i lp=16</v>
      </c>
      <c r="E19" s="15" t="str">
        <f t="shared" si="2"/>
        <v>rokprognozy=2013 i lp=16</v>
      </c>
      <c r="F19" s="15" t="str">
        <f t="shared" si="2"/>
        <v>rokprognozy=2014 i lp=16</v>
      </c>
      <c r="G19" s="15" t="str">
        <f t="shared" si="2"/>
        <v>rokprognozy=2015 i lp=16</v>
      </c>
      <c r="H19" s="15" t="str">
        <f t="shared" si="2"/>
        <v>rokprognozy=2016 i lp=16</v>
      </c>
      <c r="I19" s="15" t="str">
        <f t="shared" si="2"/>
        <v>rokprognozy=2017 i lp=16</v>
      </c>
      <c r="J19" s="15" t="str">
        <f t="shared" si="2"/>
        <v>rokprognozy=2018 i lp=16</v>
      </c>
      <c r="K19" s="15" t="str">
        <f t="shared" si="2"/>
        <v>rokprognozy=2019 i lp=16</v>
      </c>
      <c r="L19" s="15" t="str">
        <f t="shared" si="2"/>
        <v>rokprognozy=2020 i lp=16</v>
      </c>
      <c r="M19" s="15" t="str">
        <f t="shared" si="4"/>
        <v>rokprognozy=2021 i lp=16</v>
      </c>
      <c r="N19" s="15" t="str">
        <f t="shared" si="4"/>
        <v>rokprognozy=2022 i lp=16</v>
      </c>
      <c r="O19" s="15" t="str">
        <f t="shared" si="4"/>
        <v>rokprognozy=2023 i lp=16</v>
      </c>
      <c r="P19" s="15" t="str">
        <f t="shared" si="4"/>
        <v>rokprognozy=2024 i lp=16</v>
      </c>
      <c r="Q19" s="15" t="str">
        <f t="shared" si="4"/>
        <v>rokprognozy=2025 i lp=16</v>
      </c>
      <c r="R19" s="15" t="str">
        <f t="shared" si="4"/>
        <v>rokprognozy=2026 i lp=16</v>
      </c>
      <c r="S19" s="15" t="str">
        <f t="shared" si="4"/>
        <v>rokprognozy=2027 i lp=16</v>
      </c>
      <c r="T19" s="15" t="str">
        <f t="shared" si="4"/>
        <v>rokprognozy=2028 i lp=16</v>
      </c>
      <c r="U19" s="15" t="str">
        <f t="shared" si="4"/>
        <v>rokprognozy=2029 i lp=16</v>
      </c>
      <c r="V19" s="15" t="str">
        <f t="shared" si="4"/>
        <v>rokprognozy=2030 i lp=16</v>
      </c>
      <c r="W19" s="15" t="str">
        <f t="shared" si="4"/>
        <v>rokprognozy=2031 i lp=16</v>
      </c>
      <c r="X19" s="15" t="str">
        <f t="shared" si="4"/>
        <v>rokprognozy=2032 i lp=16</v>
      </c>
      <c r="Y19" s="15" t="str">
        <f t="shared" si="4"/>
        <v>rokprognozy=2033 i lp=16</v>
      </c>
      <c r="Z19" s="15" t="str">
        <f t="shared" si="4"/>
        <v>rokprognozy=2034 i lp=16</v>
      </c>
      <c r="AA19" s="15" t="str">
        <f t="shared" si="4"/>
        <v>rokprognozy=2035 i lp=16</v>
      </c>
      <c r="AB19" s="15" t="str">
        <f t="shared" si="4"/>
        <v>rokprognozy=2036 i lp=16</v>
      </c>
      <c r="AC19" s="15" t="str">
        <f t="shared" si="5"/>
        <v>rokprognozy=2037 i lp=16</v>
      </c>
      <c r="AD19" s="15" t="str">
        <f t="shared" si="5"/>
        <v>rokprognozy=2038 i lp=16</v>
      </c>
      <c r="AE19" s="15" t="str">
        <f t="shared" si="5"/>
        <v>rokprognozy=2039 i lp=16</v>
      </c>
      <c r="AF19" s="15" t="str">
        <f t="shared" si="5"/>
        <v>rokprognozy=2040 i lp=16</v>
      </c>
      <c r="AG19" s="15" t="str">
        <f t="shared" si="5"/>
        <v>rokprognozy=2041 i lp=16</v>
      </c>
      <c r="AH19" s="15" t="str">
        <f t="shared" si="5"/>
        <v>rokprognozy=2042 i lp=16</v>
      </c>
      <c r="AI19" s="15" t="str">
        <f t="shared" si="5"/>
        <v>rokprognozy=2043 i lp=16</v>
      </c>
      <c r="AJ19" s="15" t="str">
        <f t="shared" si="5"/>
        <v>rokprognozy=2044 i lp=16</v>
      </c>
      <c r="AK19" s="15" t="str">
        <f t="shared" si="5"/>
        <v>rokprognozy=2045 i lp=16</v>
      </c>
      <c r="AL19" s="15" t="str">
        <f t="shared" si="5"/>
        <v>rokprognozy=2046 i lp=16</v>
      </c>
      <c r="AM19" s="15" t="str">
        <f t="shared" si="5"/>
        <v>rokprognozy=2047 i lp=16</v>
      </c>
      <c r="AN19" s="15" t="str">
        <f t="shared" si="5"/>
        <v>rokprognozy=2048 i lp=16</v>
      </c>
      <c r="AO19" s="15" t="str">
        <f t="shared" si="5"/>
        <v>rokprognozy=2049 i lp=16</v>
      </c>
      <c r="AP19" s="15" t="str">
        <f t="shared" si="5"/>
        <v>rokprognozy=2050 i lp=16</v>
      </c>
    </row>
    <row r="20" spans="1:42" ht="14.25" customHeight="1">
      <c r="A20" s="5">
        <v>17</v>
      </c>
      <c r="B20" s="17">
        <v>5</v>
      </c>
      <c r="C20" s="13" t="s">
        <v>58</v>
      </c>
      <c r="D20" s="15" t="str">
        <f t="shared" si="2"/>
        <v>rokprognozy=2012 i lp=17</v>
      </c>
      <c r="E20" s="15" t="str">
        <f t="shared" si="2"/>
        <v>rokprognozy=2013 i lp=17</v>
      </c>
      <c r="F20" s="15" t="str">
        <f t="shared" si="2"/>
        <v>rokprognozy=2014 i lp=17</v>
      </c>
      <c r="G20" s="15" t="str">
        <f t="shared" si="2"/>
        <v>rokprognozy=2015 i lp=17</v>
      </c>
      <c r="H20" s="15" t="str">
        <f t="shared" si="2"/>
        <v>rokprognozy=2016 i lp=17</v>
      </c>
      <c r="I20" s="15" t="str">
        <f t="shared" si="2"/>
        <v>rokprognozy=2017 i lp=17</v>
      </c>
      <c r="J20" s="15" t="str">
        <f t="shared" si="2"/>
        <v>rokprognozy=2018 i lp=17</v>
      </c>
      <c r="K20" s="15" t="str">
        <f t="shared" si="2"/>
        <v>rokprognozy=2019 i lp=17</v>
      </c>
      <c r="L20" s="15" t="str">
        <f t="shared" si="2"/>
        <v>rokprognozy=2020 i lp=17</v>
      </c>
      <c r="M20" s="15" t="str">
        <f t="shared" si="4"/>
        <v>rokprognozy=2021 i lp=17</v>
      </c>
      <c r="N20" s="15" t="str">
        <f t="shared" si="4"/>
        <v>rokprognozy=2022 i lp=17</v>
      </c>
      <c r="O20" s="15" t="str">
        <f t="shared" si="4"/>
        <v>rokprognozy=2023 i lp=17</v>
      </c>
      <c r="P20" s="15" t="str">
        <f t="shared" si="4"/>
        <v>rokprognozy=2024 i lp=17</v>
      </c>
      <c r="Q20" s="15" t="str">
        <f t="shared" si="4"/>
        <v>rokprognozy=2025 i lp=17</v>
      </c>
      <c r="R20" s="15" t="str">
        <f t="shared" si="4"/>
        <v>rokprognozy=2026 i lp=17</v>
      </c>
      <c r="S20" s="15" t="str">
        <f t="shared" si="4"/>
        <v>rokprognozy=2027 i lp=17</v>
      </c>
      <c r="T20" s="15" t="str">
        <f t="shared" si="4"/>
        <v>rokprognozy=2028 i lp=17</v>
      </c>
      <c r="U20" s="15" t="str">
        <f t="shared" si="4"/>
        <v>rokprognozy=2029 i lp=17</v>
      </c>
      <c r="V20" s="15" t="str">
        <f t="shared" si="4"/>
        <v>rokprognozy=2030 i lp=17</v>
      </c>
      <c r="W20" s="15" t="str">
        <f t="shared" si="4"/>
        <v>rokprognozy=2031 i lp=17</v>
      </c>
      <c r="X20" s="15" t="str">
        <f t="shared" si="4"/>
        <v>rokprognozy=2032 i lp=17</v>
      </c>
      <c r="Y20" s="15" t="str">
        <f t="shared" si="4"/>
        <v>rokprognozy=2033 i lp=17</v>
      </c>
      <c r="Z20" s="15" t="str">
        <f t="shared" si="4"/>
        <v>rokprognozy=2034 i lp=17</v>
      </c>
      <c r="AA20" s="15" t="str">
        <f t="shared" si="4"/>
        <v>rokprognozy=2035 i lp=17</v>
      </c>
      <c r="AB20" s="15" t="str">
        <f t="shared" si="4"/>
        <v>rokprognozy=2036 i lp=17</v>
      </c>
      <c r="AC20" s="15" t="str">
        <f t="shared" si="5"/>
        <v>rokprognozy=2037 i lp=17</v>
      </c>
      <c r="AD20" s="15" t="str">
        <f t="shared" si="5"/>
        <v>rokprognozy=2038 i lp=17</v>
      </c>
      <c r="AE20" s="15" t="str">
        <f t="shared" si="5"/>
        <v>rokprognozy=2039 i lp=17</v>
      </c>
      <c r="AF20" s="15" t="str">
        <f t="shared" si="5"/>
        <v>rokprognozy=2040 i lp=17</v>
      </c>
      <c r="AG20" s="15" t="str">
        <f t="shared" si="5"/>
        <v>rokprognozy=2041 i lp=17</v>
      </c>
      <c r="AH20" s="15" t="str">
        <f t="shared" si="5"/>
        <v>rokprognozy=2042 i lp=17</v>
      </c>
      <c r="AI20" s="15" t="str">
        <f t="shared" si="5"/>
        <v>rokprognozy=2043 i lp=17</v>
      </c>
      <c r="AJ20" s="15" t="str">
        <f t="shared" si="5"/>
        <v>rokprognozy=2044 i lp=17</v>
      </c>
      <c r="AK20" s="15" t="str">
        <f t="shared" si="5"/>
        <v>rokprognozy=2045 i lp=17</v>
      </c>
      <c r="AL20" s="15" t="str">
        <f t="shared" si="5"/>
        <v>rokprognozy=2046 i lp=17</v>
      </c>
      <c r="AM20" s="15" t="str">
        <f t="shared" si="5"/>
        <v>rokprognozy=2047 i lp=17</v>
      </c>
      <c r="AN20" s="15" t="str">
        <f t="shared" si="5"/>
        <v>rokprognozy=2048 i lp=17</v>
      </c>
      <c r="AO20" s="15" t="str">
        <f t="shared" si="5"/>
        <v>rokprognozy=2049 i lp=17</v>
      </c>
      <c r="AP20" s="15" t="str">
        <f t="shared" si="5"/>
        <v>rokprognozy=2050 i lp=17</v>
      </c>
    </row>
    <row r="21" spans="1:42" ht="14.25" customHeight="1">
      <c r="A21" s="5">
        <v>18</v>
      </c>
      <c r="B21" s="17" t="s">
        <v>59</v>
      </c>
      <c r="C21" s="13" t="s">
        <v>57</v>
      </c>
      <c r="D21" s="15" t="str">
        <f t="shared" si="2"/>
        <v>rokprognozy=2012 i lp=18</v>
      </c>
      <c r="E21" s="15" t="str">
        <f t="shared" si="2"/>
        <v>rokprognozy=2013 i lp=18</v>
      </c>
      <c r="F21" s="15" t="str">
        <f t="shared" si="2"/>
        <v>rokprognozy=2014 i lp=18</v>
      </c>
      <c r="G21" s="15" t="str">
        <f t="shared" si="2"/>
        <v>rokprognozy=2015 i lp=18</v>
      </c>
      <c r="H21" s="15" t="str">
        <f t="shared" si="2"/>
        <v>rokprognozy=2016 i lp=18</v>
      </c>
      <c r="I21" s="15" t="str">
        <f t="shared" si="2"/>
        <v>rokprognozy=2017 i lp=18</v>
      </c>
      <c r="J21" s="15" t="str">
        <f t="shared" si="2"/>
        <v>rokprognozy=2018 i lp=18</v>
      </c>
      <c r="K21" s="15" t="str">
        <f t="shared" si="2"/>
        <v>rokprognozy=2019 i lp=18</v>
      </c>
      <c r="L21" s="15" t="str">
        <f t="shared" si="2"/>
        <v>rokprognozy=2020 i lp=18</v>
      </c>
      <c r="M21" s="15" t="str">
        <f t="shared" si="4"/>
        <v>rokprognozy=2021 i lp=18</v>
      </c>
      <c r="N21" s="15" t="str">
        <f t="shared" si="4"/>
        <v>rokprognozy=2022 i lp=18</v>
      </c>
      <c r="O21" s="15" t="str">
        <f t="shared" si="4"/>
        <v>rokprognozy=2023 i lp=18</v>
      </c>
      <c r="P21" s="15" t="str">
        <f t="shared" si="4"/>
        <v>rokprognozy=2024 i lp=18</v>
      </c>
      <c r="Q21" s="15" t="str">
        <f t="shared" si="4"/>
        <v>rokprognozy=2025 i lp=18</v>
      </c>
      <c r="R21" s="15" t="str">
        <f t="shared" si="4"/>
        <v>rokprognozy=2026 i lp=18</v>
      </c>
      <c r="S21" s="15" t="str">
        <f t="shared" si="4"/>
        <v>rokprognozy=2027 i lp=18</v>
      </c>
      <c r="T21" s="15" t="str">
        <f t="shared" si="4"/>
        <v>rokprognozy=2028 i lp=18</v>
      </c>
      <c r="U21" s="15" t="str">
        <f t="shared" si="4"/>
        <v>rokprognozy=2029 i lp=18</v>
      </c>
      <c r="V21" s="15" t="str">
        <f t="shared" si="4"/>
        <v>rokprognozy=2030 i lp=18</v>
      </c>
      <c r="W21" s="15" t="str">
        <f t="shared" si="4"/>
        <v>rokprognozy=2031 i lp=18</v>
      </c>
      <c r="X21" s="15" t="str">
        <f t="shared" si="4"/>
        <v>rokprognozy=2032 i lp=18</v>
      </c>
      <c r="Y21" s="15" t="str">
        <f t="shared" si="4"/>
        <v>rokprognozy=2033 i lp=18</v>
      </c>
      <c r="Z21" s="15" t="str">
        <f t="shared" si="4"/>
        <v>rokprognozy=2034 i lp=18</v>
      </c>
      <c r="AA21" s="15" t="str">
        <f t="shared" si="4"/>
        <v>rokprognozy=2035 i lp=18</v>
      </c>
      <c r="AB21" s="15" t="str">
        <f t="shared" si="4"/>
        <v>rokprognozy=2036 i lp=18</v>
      </c>
      <c r="AC21" s="15" t="str">
        <f t="shared" si="5"/>
        <v>rokprognozy=2037 i lp=18</v>
      </c>
      <c r="AD21" s="15" t="str">
        <f t="shared" si="5"/>
        <v>rokprognozy=2038 i lp=18</v>
      </c>
      <c r="AE21" s="15" t="str">
        <f t="shared" si="5"/>
        <v>rokprognozy=2039 i lp=18</v>
      </c>
      <c r="AF21" s="15" t="str">
        <f t="shared" si="5"/>
        <v>rokprognozy=2040 i lp=18</v>
      </c>
      <c r="AG21" s="15" t="str">
        <f t="shared" si="5"/>
        <v>rokprognozy=2041 i lp=18</v>
      </c>
      <c r="AH21" s="15" t="str">
        <f t="shared" si="5"/>
        <v>rokprognozy=2042 i lp=18</v>
      </c>
      <c r="AI21" s="15" t="str">
        <f t="shared" si="5"/>
        <v>rokprognozy=2043 i lp=18</v>
      </c>
      <c r="AJ21" s="15" t="str">
        <f t="shared" si="5"/>
        <v>rokprognozy=2044 i lp=18</v>
      </c>
      <c r="AK21" s="15" t="str">
        <f t="shared" si="5"/>
        <v>rokprognozy=2045 i lp=18</v>
      </c>
      <c r="AL21" s="15" t="str">
        <f t="shared" si="5"/>
        <v>rokprognozy=2046 i lp=18</v>
      </c>
      <c r="AM21" s="15" t="str">
        <f t="shared" si="5"/>
        <v>rokprognozy=2047 i lp=18</v>
      </c>
      <c r="AN21" s="15" t="str">
        <f t="shared" si="5"/>
        <v>rokprognozy=2048 i lp=18</v>
      </c>
      <c r="AO21" s="15" t="str">
        <f t="shared" si="5"/>
        <v>rokprognozy=2049 i lp=18</v>
      </c>
      <c r="AP21" s="15" t="str">
        <f t="shared" si="5"/>
        <v>rokprognozy=2050 i lp=18</v>
      </c>
    </row>
    <row r="22" spans="1:42" ht="14.25" customHeight="1">
      <c r="A22" s="6">
        <v>19</v>
      </c>
      <c r="B22" s="17">
        <v>6</v>
      </c>
      <c r="C22" s="19" t="s">
        <v>60</v>
      </c>
      <c r="D22" s="15" t="str">
        <f t="shared" si="2"/>
        <v>rokprognozy=2012 i lp=19</v>
      </c>
      <c r="E22" s="15" t="str">
        <f t="shared" si="2"/>
        <v>rokprognozy=2013 i lp=19</v>
      </c>
      <c r="F22" s="15" t="str">
        <f t="shared" si="2"/>
        <v>rokprognozy=2014 i lp=19</v>
      </c>
      <c r="G22" s="15" t="str">
        <f t="shared" si="2"/>
        <v>rokprognozy=2015 i lp=19</v>
      </c>
      <c r="H22" s="15" t="str">
        <f t="shared" si="2"/>
        <v>rokprognozy=2016 i lp=19</v>
      </c>
      <c r="I22" s="15" t="str">
        <f t="shared" si="2"/>
        <v>rokprognozy=2017 i lp=19</v>
      </c>
      <c r="J22" s="15" t="str">
        <f t="shared" si="2"/>
        <v>rokprognozy=2018 i lp=19</v>
      </c>
      <c r="K22" s="15" t="str">
        <f t="shared" si="2"/>
        <v>rokprognozy=2019 i lp=19</v>
      </c>
      <c r="L22" s="15" t="str">
        <f t="shared" si="2"/>
        <v>rokprognozy=2020 i lp=19</v>
      </c>
      <c r="M22" s="15" t="str">
        <f t="shared" si="4"/>
        <v>rokprognozy=2021 i lp=19</v>
      </c>
      <c r="N22" s="15" t="str">
        <f t="shared" si="4"/>
        <v>rokprognozy=2022 i lp=19</v>
      </c>
      <c r="O22" s="15" t="str">
        <f t="shared" si="4"/>
        <v>rokprognozy=2023 i lp=19</v>
      </c>
      <c r="P22" s="15" t="str">
        <f t="shared" si="4"/>
        <v>rokprognozy=2024 i lp=19</v>
      </c>
      <c r="Q22" s="15" t="str">
        <f t="shared" si="4"/>
        <v>rokprognozy=2025 i lp=19</v>
      </c>
      <c r="R22" s="15" t="str">
        <f t="shared" si="4"/>
        <v>rokprognozy=2026 i lp=19</v>
      </c>
      <c r="S22" s="15" t="str">
        <f t="shared" si="4"/>
        <v>rokprognozy=2027 i lp=19</v>
      </c>
      <c r="T22" s="15" t="str">
        <f t="shared" si="4"/>
        <v>rokprognozy=2028 i lp=19</v>
      </c>
      <c r="U22" s="15" t="str">
        <f t="shared" si="4"/>
        <v>rokprognozy=2029 i lp=19</v>
      </c>
      <c r="V22" s="15" t="str">
        <f t="shared" si="4"/>
        <v>rokprognozy=2030 i lp=19</v>
      </c>
      <c r="W22" s="15" t="str">
        <f t="shared" si="4"/>
        <v>rokprognozy=2031 i lp=19</v>
      </c>
      <c r="X22" s="15" t="str">
        <f t="shared" si="4"/>
        <v>rokprognozy=2032 i lp=19</v>
      </c>
      <c r="Y22" s="15" t="str">
        <f t="shared" si="4"/>
        <v>rokprognozy=2033 i lp=19</v>
      </c>
      <c r="Z22" s="15" t="str">
        <f t="shared" si="4"/>
        <v>rokprognozy=2034 i lp=19</v>
      </c>
      <c r="AA22" s="15" t="str">
        <f t="shared" si="4"/>
        <v>rokprognozy=2035 i lp=19</v>
      </c>
      <c r="AB22" s="15" t="str">
        <f t="shared" si="4"/>
        <v>rokprognozy=2036 i lp=19</v>
      </c>
      <c r="AC22" s="15" t="str">
        <f t="shared" si="5"/>
        <v>rokprognozy=2037 i lp=19</v>
      </c>
      <c r="AD22" s="15" t="str">
        <f t="shared" si="5"/>
        <v>rokprognozy=2038 i lp=19</v>
      </c>
      <c r="AE22" s="15" t="str">
        <f t="shared" si="5"/>
        <v>rokprognozy=2039 i lp=19</v>
      </c>
      <c r="AF22" s="15" t="str">
        <f t="shared" si="5"/>
        <v>rokprognozy=2040 i lp=19</v>
      </c>
      <c r="AG22" s="15" t="str">
        <f t="shared" si="5"/>
        <v>rokprognozy=2041 i lp=19</v>
      </c>
      <c r="AH22" s="15" t="str">
        <f t="shared" si="5"/>
        <v>rokprognozy=2042 i lp=19</v>
      </c>
      <c r="AI22" s="15" t="str">
        <f t="shared" si="5"/>
        <v>rokprognozy=2043 i lp=19</v>
      </c>
      <c r="AJ22" s="15" t="str">
        <f t="shared" si="5"/>
        <v>rokprognozy=2044 i lp=19</v>
      </c>
      <c r="AK22" s="15" t="str">
        <f t="shared" si="5"/>
        <v>rokprognozy=2045 i lp=19</v>
      </c>
      <c r="AL22" s="15" t="str">
        <f t="shared" si="5"/>
        <v>rokprognozy=2046 i lp=19</v>
      </c>
      <c r="AM22" s="15" t="str">
        <f t="shared" si="5"/>
        <v>rokprognozy=2047 i lp=19</v>
      </c>
      <c r="AN22" s="15" t="str">
        <f t="shared" si="5"/>
        <v>rokprognozy=2048 i lp=19</v>
      </c>
      <c r="AO22" s="15" t="str">
        <f t="shared" si="5"/>
        <v>rokprognozy=2049 i lp=19</v>
      </c>
      <c r="AP22" s="15" t="str">
        <f t="shared" si="5"/>
        <v>rokprognozy=2050 i lp=19</v>
      </c>
    </row>
    <row r="23" spans="1:42" ht="14.25" customHeight="1">
      <c r="A23" s="7">
        <v>20</v>
      </c>
      <c r="B23" s="17">
        <v>7</v>
      </c>
      <c r="C23" s="23" t="s">
        <v>6</v>
      </c>
      <c r="D23" s="15" t="str">
        <f t="shared" si="2"/>
        <v>rokprognozy=2012 i lp=20</v>
      </c>
      <c r="E23" s="15" t="str">
        <f t="shared" si="2"/>
        <v>rokprognozy=2013 i lp=20</v>
      </c>
      <c r="F23" s="15" t="str">
        <f t="shared" si="2"/>
        <v>rokprognozy=2014 i lp=20</v>
      </c>
      <c r="G23" s="15" t="str">
        <f t="shared" si="2"/>
        <v>rokprognozy=2015 i lp=20</v>
      </c>
      <c r="H23" s="15" t="str">
        <f t="shared" si="2"/>
        <v>rokprognozy=2016 i lp=20</v>
      </c>
      <c r="I23" s="15" t="str">
        <f t="shared" si="2"/>
        <v>rokprognozy=2017 i lp=20</v>
      </c>
      <c r="J23" s="15" t="str">
        <f t="shared" si="2"/>
        <v>rokprognozy=2018 i lp=20</v>
      </c>
      <c r="K23" s="15" t="str">
        <f t="shared" si="2"/>
        <v>rokprognozy=2019 i lp=20</v>
      </c>
      <c r="L23" s="15" t="str">
        <f t="shared" si="2"/>
        <v>rokprognozy=2020 i lp=20</v>
      </c>
      <c r="M23" s="15" t="str">
        <f t="shared" si="4"/>
        <v>rokprognozy=2021 i lp=20</v>
      </c>
      <c r="N23" s="15" t="str">
        <f t="shared" si="4"/>
        <v>rokprognozy=2022 i lp=20</v>
      </c>
      <c r="O23" s="15" t="str">
        <f t="shared" si="4"/>
        <v>rokprognozy=2023 i lp=20</v>
      </c>
      <c r="P23" s="15" t="str">
        <f t="shared" si="4"/>
        <v>rokprognozy=2024 i lp=20</v>
      </c>
      <c r="Q23" s="15" t="str">
        <f t="shared" si="4"/>
        <v>rokprognozy=2025 i lp=20</v>
      </c>
      <c r="R23" s="15" t="str">
        <f t="shared" si="4"/>
        <v>rokprognozy=2026 i lp=20</v>
      </c>
      <c r="S23" s="15" t="str">
        <f t="shared" si="4"/>
        <v>rokprognozy=2027 i lp=20</v>
      </c>
      <c r="T23" s="15" t="str">
        <f t="shared" si="4"/>
        <v>rokprognozy=2028 i lp=20</v>
      </c>
      <c r="U23" s="15" t="str">
        <f t="shared" si="4"/>
        <v>rokprognozy=2029 i lp=20</v>
      </c>
      <c r="V23" s="15" t="str">
        <f t="shared" si="4"/>
        <v>rokprognozy=2030 i lp=20</v>
      </c>
      <c r="W23" s="15" t="str">
        <f t="shared" si="4"/>
        <v>rokprognozy=2031 i lp=20</v>
      </c>
      <c r="X23" s="15" t="str">
        <f t="shared" si="4"/>
        <v>rokprognozy=2032 i lp=20</v>
      </c>
      <c r="Y23" s="15" t="str">
        <f t="shared" si="4"/>
        <v>rokprognozy=2033 i lp=20</v>
      </c>
      <c r="Z23" s="15" t="str">
        <f t="shared" si="4"/>
        <v>rokprognozy=2034 i lp=20</v>
      </c>
      <c r="AA23" s="15" t="str">
        <f t="shared" si="4"/>
        <v>rokprognozy=2035 i lp=20</v>
      </c>
      <c r="AB23" s="15" t="str">
        <f t="shared" si="4"/>
        <v>rokprognozy=2036 i lp=20</v>
      </c>
      <c r="AC23" s="15" t="str">
        <f t="shared" si="5"/>
        <v>rokprognozy=2037 i lp=20</v>
      </c>
      <c r="AD23" s="15" t="str">
        <f t="shared" si="5"/>
        <v>rokprognozy=2038 i lp=20</v>
      </c>
      <c r="AE23" s="15" t="str">
        <f t="shared" si="5"/>
        <v>rokprognozy=2039 i lp=20</v>
      </c>
      <c r="AF23" s="15" t="str">
        <f t="shared" si="5"/>
        <v>rokprognozy=2040 i lp=20</v>
      </c>
      <c r="AG23" s="15" t="str">
        <f t="shared" si="5"/>
        <v>rokprognozy=2041 i lp=20</v>
      </c>
      <c r="AH23" s="15" t="str">
        <f t="shared" si="5"/>
        <v>rokprognozy=2042 i lp=20</v>
      </c>
      <c r="AI23" s="15" t="str">
        <f t="shared" si="5"/>
        <v>rokprognozy=2043 i lp=20</v>
      </c>
      <c r="AJ23" s="15" t="str">
        <f t="shared" si="5"/>
        <v>rokprognozy=2044 i lp=20</v>
      </c>
      <c r="AK23" s="15" t="str">
        <f t="shared" si="5"/>
        <v>rokprognozy=2045 i lp=20</v>
      </c>
      <c r="AL23" s="15" t="str">
        <f t="shared" si="5"/>
        <v>rokprognozy=2046 i lp=20</v>
      </c>
      <c r="AM23" s="15" t="str">
        <f t="shared" si="5"/>
        <v>rokprognozy=2047 i lp=20</v>
      </c>
      <c r="AN23" s="15" t="str">
        <f t="shared" si="5"/>
        <v>rokprognozy=2048 i lp=20</v>
      </c>
      <c r="AO23" s="15" t="str">
        <f t="shared" si="5"/>
        <v>rokprognozy=2049 i lp=20</v>
      </c>
      <c r="AP23" s="15" t="str">
        <f t="shared" si="5"/>
        <v>rokprognozy=2050 i lp=20</v>
      </c>
    </row>
    <row r="24" spans="1:42" ht="14.25" customHeight="1">
      <c r="A24" s="6">
        <v>21</v>
      </c>
      <c r="B24" s="17" t="s">
        <v>61</v>
      </c>
      <c r="C24" s="19" t="s">
        <v>62</v>
      </c>
      <c r="D24" s="15" t="str">
        <f t="shared" si="2"/>
        <v>rokprognozy=2012 i lp=21</v>
      </c>
      <c r="E24" s="15" t="str">
        <f t="shared" si="2"/>
        <v>rokprognozy=2013 i lp=21</v>
      </c>
      <c r="F24" s="15" t="str">
        <f t="shared" si="2"/>
        <v>rokprognozy=2014 i lp=21</v>
      </c>
      <c r="G24" s="15" t="str">
        <f t="shared" si="2"/>
        <v>rokprognozy=2015 i lp=21</v>
      </c>
      <c r="H24" s="15" t="str">
        <f t="shared" si="2"/>
        <v>rokprognozy=2016 i lp=21</v>
      </c>
      <c r="I24" s="15" t="str">
        <f t="shared" si="2"/>
        <v>rokprognozy=2017 i lp=21</v>
      </c>
      <c r="J24" s="15" t="str">
        <f t="shared" si="2"/>
        <v>rokprognozy=2018 i lp=21</v>
      </c>
      <c r="K24" s="15" t="str">
        <f t="shared" si="2"/>
        <v>rokprognozy=2019 i lp=21</v>
      </c>
      <c r="L24" s="15" t="str">
        <f t="shared" si="2"/>
        <v>rokprognozy=2020 i lp=21</v>
      </c>
      <c r="M24" s="15" t="str">
        <f t="shared" si="4"/>
        <v>rokprognozy=2021 i lp=21</v>
      </c>
      <c r="N24" s="15" t="str">
        <f t="shared" si="4"/>
        <v>rokprognozy=2022 i lp=21</v>
      </c>
      <c r="O24" s="15" t="str">
        <f t="shared" si="4"/>
        <v>rokprognozy=2023 i lp=21</v>
      </c>
      <c r="P24" s="15" t="str">
        <f t="shared" si="4"/>
        <v>rokprognozy=2024 i lp=21</v>
      </c>
      <c r="Q24" s="15" t="str">
        <f t="shared" si="4"/>
        <v>rokprognozy=2025 i lp=21</v>
      </c>
      <c r="R24" s="15" t="str">
        <f t="shared" si="4"/>
        <v>rokprognozy=2026 i lp=21</v>
      </c>
      <c r="S24" s="15" t="str">
        <f t="shared" si="4"/>
        <v>rokprognozy=2027 i lp=21</v>
      </c>
      <c r="T24" s="15" t="str">
        <f t="shared" si="4"/>
        <v>rokprognozy=2028 i lp=21</v>
      </c>
      <c r="U24" s="15" t="str">
        <f t="shared" si="4"/>
        <v>rokprognozy=2029 i lp=21</v>
      </c>
      <c r="V24" s="15" t="str">
        <f t="shared" si="4"/>
        <v>rokprognozy=2030 i lp=21</v>
      </c>
      <c r="W24" s="15" t="str">
        <f t="shared" si="4"/>
        <v>rokprognozy=2031 i lp=21</v>
      </c>
      <c r="X24" s="15" t="str">
        <f t="shared" si="4"/>
        <v>rokprognozy=2032 i lp=21</v>
      </c>
      <c r="Y24" s="15" t="str">
        <f t="shared" si="4"/>
        <v>rokprognozy=2033 i lp=21</v>
      </c>
      <c r="Z24" s="15" t="str">
        <f t="shared" si="4"/>
        <v>rokprognozy=2034 i lp=21</v>
      </c>
      <c r="AA24" s="15" t="str">
        <f t="shared" si="4"/>
        <v>rokprognozy=2035 i lp=21</v>
      </c>
      <c r="AB24" s="15" t="str">
        <f t="shared" si="4"/>
        <v>rokprognozy=2036 i lp=21</v>
      </c>
      <c r="AC24" s="15" t="str">
        <f t="shared" si="5"/>
        <v>rokprognozy=2037 i lp=21</v>
      </c>
      <c r="AD24" s="15" t="str">
        <f t="shared" si="5"/>
        <v>rokprognozy=2038 i lp=21</v>
      </c>
      <c r="AE24" s="15" t="str">
        <f t="shared" si="5"/>
        <v>rokprognozy=2039 i lp=21</v>
      </c>
      <c r="AF24" s="15" t="str">
        <f t="shared" si="5"/>
        <v>rokprognozy=2040 i lp=21</v>
      </c>
      <c r="AG24" s="15" t="str">
        <f t="shared" si="5"/>
        <v>rokprognozy=2041 i lp=21</v>
      </c>
      <c r="AH24" s="15" t="str">
        <f t="shared" si="5"/>
        <v>rokprognozy=2042 i lp=21</v>
      </c>
      <c r="AI24" s="15" t="str">
        <f t="shared" si="5"/>
        <v>rokprognozy=2043 i lp=21</v>
      </c>
      <c r="AJ24" s="15" t="str">
        <f t="shared" si="5"/>
        <v>rokprognozy=2044 i lp=21</v>
      </c>
      <c r="AK24" s="15" t="str">
        <f t="shared" si="5"/>
        <v>rokprognozy=2045 i lp=21</v>
      </c>
      <c r="AL24" s="15" t="str">
        <f t="shared" si="5"/>
        <v>rokprognozy=2046 i lp=21</v>
      </c>
      <c r="AM24" s="15" t="str">
        <f t="shared" si="5"/>
        <v>rokprognozy=2047 i lp=21</v>
      </c>
      <c r="AN24" s="15" t="str">
        <f t="shared" si="5"/>
        <v>rokprognozy=2048 i lp=21</v>
      </c>
      <c r="AO24" s="15" t="str">
        <f t="shared" si="5"/>
        <v>rokprognozy=2049 i lp=21</v>
      </c>
      <c r="AP24" s="15" t="str">
        <f t="shared" si="5"/>
        <v>rokprognozy=2050 i lp=21</v>
      </c>
    </row>
    <row r="25" spans="1:42" ht="14.25" customHeight="1">
      <c r="A25" s="5">
        <v>22</v>
      </c>
      <c r="B25" s="17" t="s">
        <v>63</v>
      </c>
      <c r="C25" s="1" t="s">
        <v>64</v>
      </c>
      <c r="D25" s="15" t="str">
        <f t="shared" si="2"/>
        <v>rokprognozy=2012 i lp=22</v>
      </c>
      <c r="E25" s="15" t="str">
        <f t="shared" si="2"/>
        <v>rokprognozy=2013 i lp=22</v>
      </c>
      <c r="F25" s="15" t="str">
        <f t="shared" si="2"/>
        <v>rokprognozy=2014 i lp=22</v>
      </c>
      <c r="G25" s="15" t="str">
        <f t="shared" si="2"/>
        <v>rokprognozy=2015 i lp=22</v>
      </c>
      <c r="H25" s="15" t="str">
        <f t="shared" si="2"/>
        <v>rokprognozy=2016 i lp=22</v>
      </c>
      <c r="I25" s="15" t="str">
        <f t="shared" si="2"/>
        <v>rokprognozy=2017 i lp=22</v>
      </c>
      <c r="J25" s="15" t="str">
        <f t="shared" si="2"/>
        <v>rokprognozy=2018 i lp=22</v>
      </c>
      <c r="K25" s="15" t="str">
        <f t="shared" si="2"/>
        <v>rokprognozy=2019 i lp=22</v>
      </c>
      <c r="L25" s="15" t="str">
        <f t="shared" si="2"/>
        <v>rokprognozy=2020 i lp=22</v>
      </c>
      <c r="M25" s="15" t="str">
        <f t="shared" si="4"/>
        <v>rokprognozy=2021 i lp=22</v>
      </c>
      <c r="N25" s="15" t="str">
        <f t="shared" si="4"/>
        <v>rokprognozy=2022 i lp=22</v>
      </c>
      <c r="O25" s="15" t="str">
        <f t="shared" si="4"/>
        <v>rokprognozy=2023 i lp=22</v>
      </c>
      <c r="P25" s="15" t="str">
        <f t="shared" si="4"/>
        <v>rokprognozy=2024 i lp=22</v>
      </c>
      <c r="Q25" s="15" t="str">
        <f t="shared" si="4"/>
        <v>rokprognozy=2025 i lp=22</v>
      </c>
      <c r="R25" s="15" t="str">
        <f t="shared" si="4"/>
        <v>rokprognozy=2026 i lp=22</v>
      </c>
      <c r="S25" s="15" t="str">
        <f t="shared" si="4"/>
        <v>rokprognozy=2027 i lp=22</v>
      </c>
      <c r="T25" s="15" t="str">
        <f t="shared" si="4"/>
        <v>rokprognozy=2028 i lp=22</v>
      </c>
      <c r="U25" s="15" t="str">
        <f t="shared" si="4"/>
        <v>rokprognozy=2029 i lp=22</v>
      </c>
      <c r="V25" s="15" t="str">
        <f t="shared" si="4"/>
        <v>rokprognozy=2030 i lp=22</v>
      </c>
      <c r="W25" s="15" t="str">
        <f t="shared" si="4"/>
        <v>rokprognozy=2031 i lp=22</v>
      </c>
      <c r="X25" s="15" t="str">
        <f t="shared" si="4"/>
        <v>rokprognozy=2032 i lp=22</v>
      </c>
      <c r="Y25" s="15" t="str">
        <f t="shared" si="4"/>
        <v>rokprognozy=2033 i lp=22</v>
      </c>
      <c r="Z25" s="15" t="str">
        <f t="shared" si="4"/>
        <v>rokprognozy=2034 i lp=22</v>
      </c>
      <c r="AA25" s="15" t="str">
        <f t="shared" si="4"/>
        <v>rokprognozy=2035 i lp=22</v>
      </c>
      <c r="AB25" s="15" t="str">
        <f t="shared" si="4"/>
        <v>rokprognozy=2036 i lp=22</v>
      </c>
      <c r="AC25" s="15" t="str">
        <f t="shared" si="5"/>
        <v>rokprognozy=2037 i lp=22</v>
      </c>
      <c r="AD25" s="15" t="str">
        <f t="shared" si="5"/>
        <v>rokprognozy=2038 i lp=22</v>
      </c>
      <c r="AE25" s="15" t="str">
        <f t="shared" si="5"/>
        <v>rokprognozy=2039 i lp=22</v>
      </c>
      <c r="AF25" s="15" t="str">
        <f t="shared" si="5"/>
        <v>rokprognozy=2040 i lp=22</v>
      </c>
      <c r="AG25" s="15" t="str">
        <f t="shared" si="5"/>
        <v>rokprognozy=2041 i lp=22</v>
      </c>
      <c r="AH25" s="15" t="str">
        <f t="shared" si="5"/>
        <v>rokprognozy=2042 i lp=22</v>
      </c>
      <c r="AI25" s="15" t="str">
        <f t="shared" si="5"/>
        <v>rokprognozy=2043 i lp=22</v>
      </c>
      <c r="AJ25" s="15" t="str">
        <f t="shared" si="5"/>
        <v>rokprognozy=2044 i lp=22</v>
      </c>
      <c r="AK25" s="15" t="str">
        <f t="shared" si="5"/>
        <v>rokprognozy=2045 i lp=22</v>
      </c>
      <c r="AL25" s="15" t="str">
        <f t="shared" si="5"/>
        <v>rokprognozy=2046 i lp=22</v>
      </c>
      <c r="AM25" s="15" t="str">
        <f t="shared" si="5"/>
        <v>rokprognozy=2047 i lp=22</v>
      </c>
      <c r="AN25" s="15" t="str">
        <f t="shared" si="5"/>
        <v>rokprognozy=2048 i lp=22</v>
      </c>
      <c r="AO25" s="15" t="str">
        <f t="shared" si="5"/>
        <v>rokprognozy=2049 i lp=22</v>
      </c>
      <c r="AP25" s="15" t="str">
        <f t="shared" si="5"/>
        <v>rokprognozy=2050 i lp=22</v>
      </c>
    </row>
    <row r="26" spans="1:42" ht="14.25" customHeight="1">
      <c r="A26" s="6">
        <v>23</v>
      </c>
      <c r="B26" s="17" t="s">
        <v>65</v>
      </c>
      <c r="C26" s="19" t="s">
        <v>66</v>
      </c>
      <c r="D26" s="15" t="str">
        <f t="shared" si="2"/>
        <v>rokprognozy=2012 i lp=23</v>
      </c>
      <c r="E26" s="15" t="str">
        <f t="shared" si="2"/>
        <v>rokprognozy=2013 i lp=23</v>
      </c>
      <c r="F26" s="15" t="str">
        <f t="shared" si="2"/>
        <v>rokprognozy=2014 i lp=23</v>
      </c>
      <c r="G26" s="15" t="str">
        <f t="shared" si="2"/>
        <v>rokprognozy=2015 i lp=23</v>
      </c>
      <c r="H26" s="15" t="str">
        <f t="shared" si="2"/>
        <v>rokprognozy=2016 i lp=23</v>
      </c>
      <c r="I26" s="15" t="str">
        <f t="shared" si="2"/>
        <v>rokprognozy=2017 i lp=23</v>
      </c>
      <c r="J26" s="15" t="str">
        <f t="shared" si="2"/>
        <v>rokprognozy=2018 i lp=23</v>
      </c>
      <c r="K26" s="15" t="str">
        <f t="shared" si="2"/>
        <v>rokprognozy=2019 i lp=23</v>
      </c>
      <c r="L26" s="15" t="str">
        <f t="shared" si="2"/>
        <v>rokprognozy=2020 i lp=23</v>
      </c>
      <c r="M26" s="15" t="str">
        <f t="shared" si="4"/>
        <v>rokprognozy=2021 i lp=23</v>
      </c>
      <c r="N26" s="15" t="str">
        <f t="shared" si="4"/>
        <v>rokprognozy=2022 i lp=23</v>
      </c>
      <c r="O26" s="15" t="str">
        <f t="shared" si="4"/>
        <v>rokprognozy=2023 i lp=23</v>
      </c>
      <c r="P26" s="15" t="str">
        <f t="shared" si="4"/>
        <v>rokprognozy=2024 i lp=23</v>
      </c>
      <c r="Q26" s="15" t="str">
        <f t="shared" si="4"/>
        <v>rokprognozy=2025 i lp=23</v>
      </c>
      <c r="R26" s="15" t="str">
        <f t="shared" si="4"/>
        <v>rokprognozy=2026 i lp=23</v>
      </c>
      <c r="S26" s="15" t="str">
        <f t="shared" si="4"/>
        <v>rokprognozy=2027 i lp=23</v>
      </c>
      <c r="T26" s="15" t="str">
        <f t="shared" si="4"/>
        <v>rokprognozy=2028 i lp=23</v>
      </c>
      <c r="U26" s="15" t="str">
        <f t="shared" si="4"/>
        <v>rokprognozy=2029 i lp=23</v>
      </c>
      <c r="V26" s="15" t="str">
        <f t="shared" si="4"/>
        <v>rokprognozy=2030 i lp=23</v>
      </c>
      <c r="W26" s="15" t="str">
        <f t="shared" si="4"/>
        <v>rokprognozy=2031 i lp=23</v>
      </c>
      <c r="X26" s="15" t="str">
        <f t="shared" si="4"/>
        <v>rokprognozy=2032 i lp=23</v>
      </c>
      <c r="Y26" s="15" t="str">
        <f t="shared" si="4"/>
        <v>rokprognozy=2033 i lp=23</v>
      </c>
      <c r="Z26" s="15" t="str">
        <f t="shared" si="4"/>
        <v>rokprognozy=2034 i lp=23</v>
      </c>
      <c r="AA26" s="15" t="str">
        <f t="shared" si="4"/>
        <v>rokprognozy=2035 i lp=23</v>
      </c>
      <c r="AB26" s="15" t="str">
        <f t="shared" si="4"/>
        <v>rokprognozy=2036 i lp=23</v>
      </c>
      <c r="AC26" s="15" t="str">
        <f t="shared" si="5"/>
        <v>rokprognozy=2037 i lp=23</v>
      </c>
      <c r="AD26" s="15" t="str">
        <f t="shared" si="5"/>
        <v>rokprognozy=2038 i lp=23</v>
      </c>
      <c r="AE26" s="15" t="str">
        <f t="shared" si="5"/>
        <v>rokprognozy=2039 i lp=23</v>
      </c>
      <c r="AF26" s="15" t="str">
        <f t="shared" si="5"/>
        <v>rokprognozy=2040 i lp=23</v>
      </c>
      <c r="AG26" s="15" t="str">
        <f t="shared" si="5"/>
        <v>rokprognozy=2041 i lp=23</v>
      </c>
      <c r="AH26" s="15" t="str">
        <f t="shared" si="5"/>
        <v>rokprognozy=2042 i lp=23</v>
      </c>
      <c r="AI26" s="15" t="str">
        <f t="shared" si="5"/>
        <v>rokprognozy=2043 i lp=23</v>
      </c>
      <c r="AJ26" s="15" t="str">
        <f t="shared" si="5"/>
        <v>rokprognozy=2044 i lp=23</v>
      </c>
      <c r="AK26" s="15" t="str">
        <f t="shared" si="5"/>
        <v>rokprognozy=2045 i lp=23</v>
      </c>
      <c r="AL26" s="15" t="str">
        <f t="shared" si="5"/>
        <v>rokprognozy=2046 i lp=23</v>
      </c>
      <c r="AM26" s="15" t="str">
        <f t="shared" si="5"/>
        <v>rokprognozy=2047 i lp=23</v>
      </c>
      <c r="AN26" s="15" t="str">
        <f t="shared" si="5"/>
        <v>rokprognozy=2048 i lp=23</v>
      </c>
      <c r="AO26" s="15" t="str">
        <f t="shared" si="5"/>
        <v>rokprognozy=2049 i lp=23</v>
      </c>
      <c r="AP26" s="15" t="str">
        <f t="shared" si="5"/>
        <v>rokprognozy=2050 i lp=23</v>
      </c>
    </row>
    <row r="27" spans="1:42" ht="15" customHeight="1" thickBot="1">
      <c r="A27" s="8">
        <v>24</v>
      </c>
      <c r="B27" s="17" t="s">
        <v>67</v>
      </c>
      <c r="C27" s="24" t="s">
        <v>68</v>
      </c>
      <c r="D27" s="15" t="str">
        <f t="shared" si="2"/>
        <v>rokprognozy=2012 i lp=24</v>
      </c>
      <c r="E27" s="15" t="str">
        <f t="shared" si="2"/>
        <v>rokprognozy=2013 i lp=24</v>
      </c>
      <c r="F27" s="15" t="str">
        <f t="shared" si="2"/>
        <v>rokprognozy=2014 i lp=24</v>
      </c>
      <c r="G27" s="15" t="str">
        <f t="shared" si="2"/>
        <v>rokprognozy=2015 i lp=24</v>
      </c>
      <c r="H27" s="15" t="str">
        <f t="shared" si="2"/>
        <v>rokprognozy=2016 i lp=24</v>
      </c>
      <c r="I27" s="15" t="str">
        <f t="shared" si="2"/>
        <v>rokprognozy=2017 i lp=24</v>
      </c>
      <c r="J27" s="15" t="str">
        <f t="shared" si="2"/>
        <v>rokprognozy=2018 i lp=24</v>
      </c>
      <c r="K27" s="15" t="str">
        <f t="shared" si="2"/>
        <v>rokprognozy=2019 i lp=24</v>
      </c>
      <c r="L27" s="15" t="str">
        <f t="shared" si="2"/>
        <v>rokprognozy=2020 i lp=24</v>
      </c>
      <c r="M27" s="15" t="str">
        <f t="shared" si="4"/>
        <v>rokprognozy=2021 i lp=24</v>
      </c>
      <c r="N27" s="15" t="str">
        <f t="shared" si="4"/>
        <v>rokprognozy=2022 i lp=24</v>
      </c>
      <c r="O27" s="15" t="str">
        <f t="shared" si="4"/>
        <v>rokprognozy=2023 i lp=24</v>
      </c>
      <c r="P27" s="15" t="str">
        <f t="shared" si="4"/>
        <v>rokprognozy=2024 i lp=24</v>
      </c>
      <c r="Q27" s="15" t="str">
        <f t="shared" si="4"/>
        <v>rokprognozy=2025 i lp=24</v>
      </c>
      <c r="R27" s="15" t="str">
        <f t="shared" si="4"/>
        <v>rokprognozy=2026 i lp=24</v>
      </c>
      <c r="S27" s="15" t="str">
        <f t="shared" si="4"/>
        <v>rokprognozy=2027 i lp=24</v>
      </c>
      <c r="T27" s="15" t="str">
        <f t="shared" si="4"/>
        <v>rokprognozy=2028 i lp=24</v>
      </c>
      <c r="U27" s="15" t="str">
        <f t="shared" si="4"/>
        <v>rokprognozy=2029 i lp=24</v>
      </c>
      <c r="V27" s="15" t="str">
        <f t="shared" si="4"/>
        <v>rokprognozy=2030 i lp=24</v>
      </c>
      <c r="W27" s="15" t="str">
        <f t="shared" si="4"/>
        <v>rokprognozy=2031 i lp=24</v>
      </c>
      <c r="X27" s="15" t="str">
        <f t="shared" si="4"/>
        <v>rokprognozy=2032 i lp=24</v>
      </c>
      <c r="Y27" s="15" t="str">
        <f t="shared" si="4"/>
        <v>rokprognozy=2033 i lp=24</v>
      </c>
      <c r="Z27" s="15" t="str">
        <f t="shared" si="4"/>
        <v>rokprognozy=2034 i lp=24</v>
      </c>
      <c r="AA27" s="15" t="str">
        <f t="shared" si="4"/>
        <v>rokprognozy=2035 i lp=24</v>
      </c>
      <c r="AB27" s="15" t="str">
        <f t="shared" si="4"/>
        <v>rokprognozy=2036 i lp=24</v>
      </c>
      <c r="AC27" s="15" t="str">
        <f t="shared" si="5"/>
        <v>rokprognozy=2037 i lp=24</v>
      </c>
      <c r="AD27" s="15" t="str">
        <f t="shared" si="5"/>
        <v>rokprognozy=2038 i lp=24</v>
      </c>
      <c r="AE27" s="15" t="str">
        <f t="shared" si="5"/>
        <v>rokprognozy=2039 i lp=24</v>
      </c>
      <c r="AF27" s="15" t="str">
        <f t="shared" si="5"/>
        <v>rokprognozy=2040 i lp=24</v>
      </c>
      <c r="AG27" s="15" t="str">
        <f t="shared" si="5"/>
        <v>rokprognozy=2041 i lp=24</v>
      </c>
      <c r="AH27" s="15" t="str">
        <f t="shared" si="5"/>
        <v>rokprognozy=2042 i lp=24</v>
      </c>
      <c r="AI27" s="15" t="str">
        <f t="shared" si="5"/>
        <v>rokprognozy=2043 i lp=24</v>
      </c>
      <c r="AJ27" s="15" t="str">
        <f t="shared" si="5"/>
        <v>rokprognozy=2044 i lp=24</v>
      </c>
      <c r="AK27" s="15" t="str">
        <f t="shared" si="5"/>
        <v>rokprognozy=2045 i lp=24</v>
      </c>
      <c r="AL27" s="15" t="str">
        <f t="shared" si="5"/>
        <v>rokprognozy=2046 i lp=24</v>
      </c>
      <c r="AM27" s="15" t="str">
        <f t="shared" si="5"/>
        <v>rokprognozy=2047 i lp=24</v>
      </c>
      <c r="AN27" s="15" t="str">
        <f t="shared" si="5"/>
        <v>rokprognozy=2048 i lp=24</v>
      </c>
      <c r="AO27" s="15" t="str">
        <f t="shared" si="5"/>
        <v>rokprognozy=2049 i lp=24</v>
      </c>
      <c r="AP27" s="15" t="str">
        <f t="shared" si="5"/>
        <v>rokprognozy=2050 i lp=24</v>
      </c>
    </row>
    <row r="28" spans="1:42" ht="14.25" customHeight="1">
      <c r="A28" s="9">
        <v>25</v>
      </c>
      <c r="B28" s="17">
        <v>8</v>
      </c>
      <c r="C28" s="25" t="s">
        <v>69</v>
      </c>
      <c r="D28" s="15" t="str">
        <f t="shared" si="2"/>
        <v>rokprognozy=2012 i lp=25</v>
      </c>
      <c r="E28" s="15" t="str">
        <f t="shared" si="2"/>
        <v>rokprognozy=2013 i lp=25</v>
      </c>
      <c r="F28" s="15" t="str">
        <f t="shared" si="2"/>
        <v>rokprognozy=2014 i lp=25</v>
      </c>
      <c r="G28" s="15" t="str">
        <f t="shared" si="2"/>
        <v>rokprognozy=2015 i lp=25</v>
      </c>
      <c r="H28" s="15" t="str">
        <f t="shared" si="2"/>
        <v>rokprognozy=2016 i lp=25</v>
      </c>
      <c r="I28" s="15" t="str">
        <f t="shared" si="2"/>
        <v>rokprognozy=2017 i lp=25</v>
      </c>
      <c r="J28" s="15" t="str">
        <f t="shared" si="2"/>
        <v>rokprognozy=2018 i lp=25</v>
      </c>
      <c r="K28" s="15" t="str">
        <f t="shared" si="2"/>
        <v>rokprognozy=2019 i lp=25</v>
      </c>
      <c r="L28" s="15" t="str">
        <f t="shared" si="2"/>
        <v>rokprognozy=2020 i lp=25</v>
      </c>
      <c r="M28" s="15" t="str">
        <f t="shared" si="4"/>
        <v>rokprognozy=2021 i lp=25</v>
      </c>
      <c r="N28" s="15" t="str">
        <f t="shared" si="4"/>
        <v>rokprognozy=2022 i lp=25</v>
      </c>
      <c r="O28" s="15" t="str">
        <f t="shared" si="4"/>
        <v>rokprognozy=2023 i lp=25</v>
      </c>
      <c r="P28" s="15" t="str">
        <f t="shared" si="4"/>
        <v>rokprognozy=2024 i lp=25</v>
      </c>
      <c r="Q28" s="15" t="str">
        <f t="shared" si="4"/>
        <v>rokprognozy=2025 i lp=25</v>
      </c>
      <c r="R28" s="15" t="str">
        <f t="shared" si="4"/>
        <v>rokprognozy=2026 i lp=25</v>
      </c>
      <c r="S28" s="15" t="str">
        <f t="shared" si="4"/>
        <v>rokprognozy=2027 i lp=25</v>
      </c>
      <c r="T28" s="15" t="str">
        <f t="shared" si="4"/>
        <v>rokprognozy=2028 i lp=25</v>
      </c>
      <c r="U28" s="15" t="str">
        <f t="shared" si="4"/>
        <v>rokprognozy=2029 i lp=25</v>
      </c>
      <c r="V28" s="15" t="str">
        <f t="shared" si="4"/>
        <v>rokprognozy=2030 i lp=25</v>
      </c>
      <c r="W28" s="15" t="str">
        <f t="shared" si="4"/>
        <v>rokprognozy=2031 i lp=25</v>
      </c>
      <c r="X28" s="15" t="str">
        <f t="shared" si="4"/>
        <v>rokprognozy=2032 i lp=25</v>
      </c>
      <c r="Y28" s="15" t="str">
        <f t="shared" si="4"/>
        <v>rokprognozy=2033 i lp=25</v>
      </c>
      <c r="Z28" s="15" t="str">
        <f t="shared" si="4"/>
        <v>rokprognozy=2034 i lp=25</v>
      </c>
      <c r="AA28" s="15" t="str">
        <f t="shared" si="4"/>
        <v>rokprognozy=2035 i lp=25</v>
      </c>
      <c r="AB28" s="15" t="str">
        <f t="shared" si="4"/>
        <v>rokprognozy=2036 i lp=25</v>
      </c>
      <c r="AC28" s="15" t="str">
        <f t="shared" si="5"/>
        <v>rokprognozy=2037 i lp=25</v>
      </c>
      <c r="AD28" s="15" t="str">
        <f t="shared" si="5"/>
        <v>rokprognozy=2038 i lp=25</v>
      </c>
      <c r="AE28" s="15" t="str">
        <f t="shared" si="5"/>
        <v>rokprognozy=2039 i lp=25</v>
      </c>
      <c r="AF28" s="15" t="str">
        <f t="shared" si="5"/>
        <v>rokprognozy=2040 i lp=25</v>
      </c>
      <c r="AG28" s="15" t="str">
        <f t="shared" si="5"/>
        <v>rokprognozy=2041 i lp=25</v>
      </c>
      <c r="AH28" s="15" t="str">
        <f t="shared" si="5"/>
        <v>rokprognozy=2042 i lp=25</v>
      </c>
      <c r="AI28" s="15" t="str">
        <f t="shared" si="5"/>
        <v>rokprognozy=2043 i lp=25</v>
      </c>
      <c r="AJ28" s="15" t="str">
        <f t="shared" si="5"/>
        <v>rokprognozy=2044 i lp=25</v>
      </c>
      <c r="AK28" s="15" t="str">
        <f t="shared" si="5"/>
        <v>rokprognozy=2045 i lp=25</v>
      </c>
      <c r="AL28" s="15" t="str">
        <f t="shared" si="5"/>
        <v>rokprognozy=2046 i lp=25</v>
      </c>
      <c r="AM28" s="15" t="str">
        <f t="shared" si="5"/>
        <v>rokprognozy=2047 i lp=25</v>
      </c>
      <c r="AN28" s="15" t="str">
        <f t="shared" si="5"/>
        <v>rokprognozy=2048 i lp=25</v>
      </c>
      <c r="AO28" s="15" t="str">
        <f t="shared" si="5"/>
        <v>rokprognozy=2049 i lp=25</v>
      </c>
      <c r="AP28" s="15" t="str">
        <f t="shared" si="5"/>
        <v>rokprognozy=2050 i lp=25</v>
      </c>
    </row>
    <row r="29" spans="1:42" ht="14.25" customHeight="1">
      <c r="A29" s="5">
        <v>26</v>
      </c>
      <c r="B29" s="17">
        <v>9</v>
      </c>
      <c r="C29" s="1" t="s">
        <v>70</v>
      </c>
      <c r="D29" s="15" t="str">
        <f t="shared" si="2"/>
        <v>rokprognozy=2012 i lp=26</v>
      </c>
      <c r="E29" s="15" t="str">
        <f t="shared" si="2"/>
        <v>rokprognozy=2013 i lp=26</v>
      </c>
      <c r="F29" s="15" t="str">
        <f t="shared" si="2"/>
        <v>rokprognozy=2014 i lp=26</v>
      </c>
      <c r="G29" s="15" t="str">
        <f t="shared" si="2"/>
        <v>rokprognozy=2015 i lp=26</v>
      </c>
      <c r="H29" s="15" t="str">
        <f t="shared" si="2"/>
        <v>rokprognozy=2016 i lp=26</v>
      </c>
      <c r="I29" s="15" t="str">
        <f t="shared" si="2"/>
        <v>rokprognozy=2017 i lp=26</v>
      </c>
      <c r="J29" s="15" t="str">
        <f t="shared" si="2"/>
        <v>rokprognozy=2018 i lp=26</v>
      </c>
      <c r="K29" s="15" t="str">
        <f t="shared" si="2"/>
        <v>rokprognozy=2019 i lp=26</v>
      </c>
      <c r="L29" s="15" t="str">
        <f t="shared" si="2"/>
        <v>rokprognozy=2020 i lp=26</v>
      </c>
      <c r="M29" s="15" t="str">
        <f t="shared" si="4"/>
        <v>rokprognozy=2021 i lp=26</v>
      </c>
      <c r="N29" s="15" t="str">
        <f t="shared" si="4"/>
        <v>rokprognozy=2022 i lp=26</v>
      </c>
      <c r="O29" s="15" t="str">
        <f t="shared" si="4"/>
        <v>rokprognozy=2023 i lp=26</v>
      </c>
      <c r="P29" s="15" t="str">
        <f t="shared" si="4"/>
        <v>rokprognozy=2024 i lp=26</v>
      </c>
      <c r="Q29" s="15" t="str">
        <f t="shared" si="4"/>
        <v>rokprognozy=2025 i lp=26</v>
      </c>
      <c r="R29" s="15" t="str">
        <f t="shared" si="4"/>
        <v>rokprognozy=2026 i lp=26</v>
      </c>
      <c r="S29" s="15" t="str">
        <f t="shared" si="4"/>
        <v>rokprognozy=2027 i lp=26</v>
      </c>
      <c r="T29" s="15" t="str">
        <f t="shared" si="4"/>
        <v>rokprognozy=2028 i lp=26</v>
      </c>
      <c r="U29" s="15" t="str">
        <f t="shared" si="4"/>
        <v>rokprognozy=2029 i lp=26</v>
      </c>
      <c r="V29" s="15" t="str">
        <f t="shared" si="4"/>
        <v>rokprognozy=2030 i lp=26</v>
      </c>
      <c r="W29" s="15" t="str">
        <f t="shared" si="4"/>
        <v>rokprognozy=2031 i lp=26</v>
      </c>
      <c r="X29" s="15" t="str">
        <f t="shared" si="4"/>
        <v>rokprognozy=2032 i lp=26</v>
      </c>
      <c r="Y29" s="15" t="str">
        <f t="shared" si="4"/>
        <v>rokprognozy=2033 i lp=26</v>
      </c>
      <c r="Z29" s="15" t="str">
        <f t="shared" si="4"/>
        <v>rokprognozy=2034 i lp=26</v>
      </c>
      <c r="AA29" s="15" t="str">
        <f t="shared" si="4"/>
        <v>rokprognozy=2035 i lp=26</v>
      </c>
      <c r="AB29" s="15" t="str">
        <f t="shared" si="4"/>
        <v>rokprognozy=2036 i lp=26</v>
      </c>
      <c r="AC29" s="15" t="str">
        <f t="shared" si="5"/>
        <v>rokprognozy=2037 i lp=26</v>
      </c>
      <c r="AD29" s="15" t="str">
        <f t="shared" si="5"/>
        <v>rokprognozy=2038 i lp=26</v>
      </c>
      <c r="AE29" s="15" t="str">
        <f t="shared" si="5"/>
        <v>rokprognozy=2039 i lp=26</v>
      </c>
      <c r="AF29" s="15" t="str">
        <f t="shared" si="5"/>
        <v>rokprognozy=2040 i lp=26</v>
      </c>
      <c r="AG29" s="15" t="str">
        <f t="shared" si="5"/>
        <v>rokprognozy=2041 i lp=26</v>
      </c>
      <c r="AH29" s="15" t="str">
        <f t="shared" si="5"/>
        <v>rokprognozy=2042 i lp=26</v>
      </c>
      <c r="AI29" s="15" t="str">
        <f t="shared" si="5"/>
        <v>rokprognozy=2043 i lp=26</v>
      </c>
      <c r="AJ29" s="15" t="str">
        <f t="shared" si="5"/>
        <v>rokprognozy=2044 i lp=26</v>
      </c>
      <c r="AK29" s="15" t="str">
        <f t="shared" si="5"/>
        <v>rokprognozy=2045 i lp=26</v>
      </c>
      <c r="AL29" s="15" t="str">
        <f t="shared" si="5"/>
        <v>rokprognozy=2046 i lp=26</v>
      </c>
      <c r="AM29" s="15" t="str">
        <f t="shared" si="5"/>
        <v>rokprognozy=2047 i lp=26</v>
      </c>
      <c r="AN29" s="15" t="str">
        <f t="shared" si="5"/>
        <v>rokprognozy=2048 i lp=26</v>
      </c>
      <c r="AO29" s="15" t="str">
        <f t="shared" si="5"/>
        <v>rokprognozy=2049 i lp=26</v>
      </c>
      <c r="AP29" s="15" t="str">
        <f t="shared" si="5"/>
        <v>rokprognozy=2050 i lp=26</v>
      </c>
    </row>
    <row r="30" spans="1:42" ht="14.25" customHeight="1">
      <c r="A30" s="5">
        <v>27</v>
      </c>
      <c r="B30" s="17">
        <v>10</v>
      </c>
      <c r="C30" s="1" t="s">
        <v>7</v>
      </c>
      <c r="D30" s="15" t="str">
        <f t="shared" si="2"/>
        <v>rokprognozy=2012 i lp=27</v>
      </c>
      <c r="E30" s="15" t="str">
        <f t="shared" si="2"/>
        <v>rokprognozy=2013 i lp=27</v>
      </c>
      <c r="F30" s="15" t="str">
        <f t="shared" si="2"/>
        <v>rokprognozy=2014 i lp=27</v>
      </c>
      <c r="G30" s="15" t="str">
        <f t="shared" ref="D30:S45" si="6">+"rokprognozy="&amp;G$3&amp;" i lp="&amp;$A30</f>
        <v>rokprognozy=2015 i lp=27</v>
      </c>
      <c r="H30" s="15" t="str">
        <f t="shared" si="6"/>
        <v>rokprognozy=2016 i lp=27</v>
      </c>
      <c r="I30" s="15" t="str">
        <f t="shared" si="6"/>
        <v>rokprognozy=2017 i lp=27</v>
      </c>
      <c r="J30" s="15" t="str">
        <f t="shared" si="6"/>
        <v>rokprognozy=2018 i lp=27</v>
      </c>
      <c r="K30" s="15" t="str">
        <f t="shared" si="6"/>
        <v>rokprognozy=2019 i lp=27</v>
      </c>
      <c r="L30" s="15" t="str">
        <f t="shared" si="6"/>
        <v>rokprognozy=2020 i lp=27</v>
      </c>
      <c r="M30" s="15" t="str">
        <f t="shared" si="4"/>
        <v>rokprognozy=2021 i lp=27</v>
      </c>
      <c r="N30" s="15" t="str">
        <f t="shared" si="4"/>
        <v>rokprognozy=2022 i lp=27</v>
      </c>
      <c r="O30" s="15" t="str">
        <f t="shared" si="4"/>
        <v>rokprognozy=2023 i lp=27</v>
      </c>
      <c r="P30" s="15" t="str">
        <f t="shared" si="4"/>
        <v>rokprognozy=2024 i lp=27</v>
      </c>
      <c r="Q30" s="15" t="str">
        <f t="shared" si="4"/>
        <v>rokprognozy=2025 i lp=27</v>
      </c>
      <c r="R30" s="15" t="str">
        <f t="shared" si="4"/>
        <v>rokprognozy=2026 i lp=27</v>
      </c>
      <c r="S30" s="15" t="str">
        <f t="shared" si="4"/>
        <v>rokprognozy=2027 i lp=27</v>
      </c>
      <c r="T30" s="15" t="str">
        <f t="shared" si="4"/>
        <v>rokprognozy=2028 i lp=27</v>
      </c>
      <c r="U30" s="15" t="str">
        <f t="shared" si="4"/>
        <v>rokprognozy=2029 i lp=27</v>
      </c>
      <c r="V30" s="15" t="str">
        <f t="shared" si="4"/>
        <v>rokprognozy=2030 i lp=27</v>
      </c>
      <c r="W30" s="15" t="str">
        <f t="shared" si="4"/>
        <v>rokprognozy=2031 i lp=27</v>
      </c>
      <c r="X30" s="15" t="str">
        <f t="shared" si="4"/>
        <v>rokprognozy=2032 i lp=27</v>
      </c>
      <c r="Y30" s="15" t="str">
        <f t="shared" si="4"/>
        <v>rokprognozy=2033 i lp=27</v>
      </c>
      <c r="Z30" s="15" t="str">
        <f t="shared" si="4"/>
        <v>rokprognozy=2034 i lp=27</v>
      </c>
      <c r="AA30" s="15" t="str">
        <f t="shared" si="4"/>
        <v>rokprognozy=2035 i lp=27</v>
      </c>
      <c r="AB30" s="15" t="str">
        <f t="shared" si="4"/>
        <v>rokprognozy=2036 i lp=27</v>
      </c>
      <c r="AC30" s="15" t="str">
        <f t="shared" si="5"/>
        <v>rokprognozy=2037 i lp=27</v>
      </c>
      <c r="AD30" s="15" t="str">
        <f t="shared" si="5"/>
        <v>rokprognozy=2038 i lp=27</v>
      </c>
      <c r="AE30" s="15" t="str">
        <f t="shared" si="5"/>
        <v>rokprognozy=2039 i lp=27</v>
      </c>
      <c r="AF30" s="15" t="str">
        <f t="shared" si="5"/>
        <v>rokprognozy=2040 i lp=27</v>
      </c>
      <c r="AG30" s="15" t="str">
        <f t="shared" si="5"/>
        <v>rokprognozy=2041 i lp=27</v>
      </c>
      <c r="AH30" s="15" t="str">
        <f t="shared" si="5"/>
        <v>rokprognozy=2042 i lp=27</v>
      </c>
      <c r="AI30" s="15" t="str">
        <f t="shared" si="5"/>
        <v>rokprognozy=2043 i lp=27</v>
      </c>
      <c r="AJ30" s="15" t="str">
        <f t="shared" si="5"/>
        <v>rokprognozy=2044 i lp=27</v>
      </c>
      <c r="AK30" s="15" t="str">
        <f t="shared" si="5"/>
        <v>rokprognozy=2045 i lp=27</v>
      </c>
      <c r="AL30" s="15" t="str">
        <f t="shared" si="5"/>
        <v>rokprognozy=2046 i lp=27</v>
      </c>
      <c r="AM30" s="15" t="str">
        <f t="shared" si="5"/>
        <v>rokprognozy=2047 i lp=27</v>
      </c>
      <c r="AN30" s="15" t="str">
        <f t="shared" si="5"/>
        <v>rokprognozy=2048 i lp=27</v>
      </c>
      <c r="AO30" s="15" t="str">
        <f t="shared" si="5"/>
        <v>rokprognozy=2049 i lp=27</v>
      </c>
      <c r="AP30" s="15" t="str">
        <f t="shared" si="5"/>
        <v>rokprognozy=2050 i lp=27</v>
      </c>
    </row>
    <row r="31" spans="1:42" ht="14.25" customHeight="1">
      <c r="A31" s="6">
        <v>28</v>
      </c>
      <c r="B31" s="17" t="s">
        <v>71</v>
      </c>
      <c r="C31" s="19" t="s">
        <v>72</v>
      </c>
      <c r="D31" s="15" t="str">
        <f t="shared" si="6"/>
        <v>rokprognozy=2012 i lp=28</v>
      </c>
      <c r="E31" s="15" t="str">
        <f t="shared" si="6"/>
        <v>rokprognozy=2013 i lp=28</v>
      </c>
      <c r="F31" s="15" t="str">
        <f t="shared" si="6"/>
        <v>rokprognozy=2014 i lp=28</v>
      </c>
      <c r="G31" s="15" t="str">
        <f t="shared" si="6"/>
        <v>rokprognozy=2015 i lp=28</v>
      </c>
      <c r="H31" s="15" t="str">
        <f t="shared" si="6"/>
        <v>rokprognozy=2016 i lp=28</v>
      </c>
      <c r="I31" s="15" t="str">
        <f t="shared" si="6"/>
        <v>rokprognozy=2017 i lp=28</v>
      </c>
      <c r="J31" s="15" t="str">
        <f t="shared" si="6"/>
        <v>rokprognozy=2018 i lp=28</v>
      </c>
      <c r="K31" s="15" t="str">
        <f t="shared" si="6"/>
        <v>rokprognozy=2019 i lp=28</v>
      </c>
      <c r="L31" s="15" t="str">
        <f t="shared" si="6"/>
        <v>rokprognozy=2020 i lp=28</v>
      </c>
      <c r="M31" s="15" t="str">
        <f t="shared" si="4"/>
        <v>rokprognozy=2021 i lp=28</v>
      </c>
      <c r="N31" s="15" t="str">
        <f t="shared" si="4"/>
        <v>rokprognozy=2022 i lp=28</v>
      </c>
      <c r="O31" s="15" t="str">
        <f t="shared" si="4"/>
        <v>rokprognozy=2023 i lp=28</v>
      </c>
      <c r="P31" s="15" t="str">
        <f t="shared" si="4"/>
        <v>rokprognozy=2024 i lp=28</v>
      </c>
      <c r="Q31" s="15" t="str">
        <f t="shared" si="4"/>
        <v>rokprognozy=2025 i lp=28</v>
      </c>
      <c r="R31" s="15" t="str">
        <f t="shared" si="4"/>
        <v>rokprognozy=2026 i lp=28</v>
      </c>
      <c r="S31" s="15" t="str">
        <f t="shared" si="4"/>
        <v>rokprognozy=2027 i lp=28</v>
      </c>
      <c r="T31" s="15" t="str">
        <f t="shared" si="4"/>
        <v>rokprognozy=2028 i lp=28</v>
      </c>
      <c r="U31" s="15" t="str">
        <f t="shared" si="4"/>
        <v>rokprognozy=2029 i lp=28</v>
      </c>
      <c r="V31" s="15" t="str">
        <f t="shared" si="4"/>
        <v>rokprognozy=2030 i lp=28</v>
      </c>
      <c r="W31" s="15" t="str">
        <f t="shared" si="4"/>
        <v>rokprognozy=2031 i lp=28</v>
      </c>
      <c r="X31" s="15" t="str">
        <f t="shared" si="4"/>
        <v>rokprognozy=2032 i lp=28</v>
      </c>
      <c r="Y31" s="15" t="str">
        <f t="shared" si="4"/>
        <v>rokprognozy=2033 i lp=28</v>
      </c>
      <c r="Z31" s="15" t="str">
        <f t="shared" si="4"/>
        <v>rokprognozy=2034 i lp=28</v>
      </c>
      <c r="AA31" s="15" t="str">
        <f t="shared" si="4"/>
        <v>rokprognozy=2035 i lp=28</v>
      </c>
      <c r="AB31" s="15" t="str">
        <f t="shared" si="4"/>
        <v>rokprognozy=2036 i lp=28</v>
      </c>
      <c r="AC31" s="15" t="str">
        <f t="shared" si="5"/>
        <v>rokprognozy=2037 i lp=28</v>
      </c>
      <c r="AD31" s="15" t="str">
        <f t="shared" si="5"/>
        <v>rokprognozy=2038 i lp=28</v>
      </c>
      <c r="AE31" s="15" t="str">
        <f t="shared" si="5"/>
        <v>rokprognozy=2039 i lp=28</v>
      </c>
      <c r="AF31" s="15" t="str">
        <f t="shared" si="5"/>
        <v>rokprognozy=2040 i lp=28</v>
      </c>
      <c r="AG31" s="15" t="str">
        <f t="shared" si="5"/>
        <v>rokprognozy=2041 i lp=28</v>
      </c>
      <c r="AH31" s="15" t="str">
        <f t="shared" si="5"/>
        <v>rokprognozy=2042 i lp=28</v>
      </c>
      <c r="AI31" s="15" t="str">
        <f t="shared" si="5"/>
        <v>rokprognozy=2043 i lp=28</v>
      </c>
      <c r="AJ31" s="15" t="str">
        <f t="shared" si="5"/>
        <v>rokprognozy=2044 i lp=28</v>
      </c>
      <c r="AK31" s="15" t="str">
        <f t="shared" si="5"/>
        <v>rokprognozy=2045 i lp=28</v>
      </c>
      <c r="AL31" s="15" t="str">
        <f t="shared" si="5"/>
        <v>rokprognozy=2046 i lp=28</v>
      </c>
      <c r="AM31" s="15" t="str">
        <f t="shared" si="5"/>
        <v>rokprognozy=2047 i lp=28</v>
      </c>
      <c r="AN31" s="15" t="str">
        <f t="shared" si="5"/>
        <v>rokprognozy=2048 i lp=28</v>
      </c>
      <c r="AO31" s="15" t="str">
        <f t="shared" si="5"/>
        <v>rokprognozy=2049 i lp=28</v>
      </c>
      <c r="AP31" s="15" t="str">
        <f t="shared" si="5"/>
        <v>rokprognozy=2050 i lp=28</v>
      </c>
    </row>
    <row r="32" spans="1:42" ht="49.5" customHeight="1">
      <c r="A32" s="6">
        <v>29</v>
      </c>
      <c r="B32" s="17" t="s">
        <v>73</v>
      </c>
      <c r="C32" s="19" t="s">
        <v>54</v>
      </c>
      <c r="D32" s="15" t="str">
        <f t="shared" si="6"/>
        <v>rokprognozy=2012 i lp=29</v>
      </c>
      <c r="E32" s="15" t="str">
        <f t="shared" si="6"/>
        <v>rokprognozy=2013 i lp=29</v>
      </c>
      <c r="F32" s="16" t="str">
        <f t="shared" si="6"/>
        <v>rokprognozy=2014 i lp=29</v>
      </c>
      <c r="G32" s="16" t="str">
        <f t="shared" si="6"/>
        <v>rokprognozy=2015 i lp=29</v>
      </c>
      <c r="H32" s="16" t="str">
        <f t="shared" si="6"/>
        <v>rokprognozy=2016 i lp=29</v>
      </c>
      <c r="I32" s="16" t="str">
        <f t="shared" si="6"/>
        <v>rokprognozy=2017 i lp=29</v>
      </c>
      <c r="J32" s="16" t="str">
        <f t="shared" si="6"/>
        <v>rokprognozy=2018 i lp=29</v>
      </c>
      <c r="K32" s="16" t="str">
        <f t="shared" si="6"/>
        <v>rokprognozy=2019 i lp=29</v>
      </c>
      <c r="L32" s="16" t="str">
        <f t="shared" si="6"/>
        <v>rokprognozy=2020 i lp=29</v>
      </c>
      <c r="M32" s="16" t="str">
        <f t="shared" si="4"/>
        <v>rokprognozy=2021 i lp=29</v>
      </c>
      <c r="N32" s="16" t="str">
        <f t="shared" si="4"/>
        <v>rokprognozy=2022 i lp=29</v>
      </c>
      <c r="O32" s="16" t="str">
        <f t="shared" si="4"/>
        <v>rokprognozy=2023 i lp=29</v>
      </c>
      <c r="P32" s="16" t="str">
        <f t="shared" si="4"/>
        <v>rokprognozy=2024 i lp=29</v>
      </c>
      <c r="Q32" s="16" t="str">
        <f t="shared" si="4"/>
        <v>rokprognozy=2025 i lp=29</v>
      </c>
      <c r="R32" s="16" t="str">
        <f t="shared" si="4"/>
        <v>rokprognozy=2026 i lp=29</v>
      </c>
      <c r="S32" s="16" t="str">
        <f t="shared" si="4"/>
        <v>rokprognozy=2027 i lp=29</v>
      </c>
      <c r="T32" s="16" t="str">
        <f t="shared" si="4"/>
        <v>rokprognozy=2028 i lp=29</v>
      </c>
      <c r="U32" s="16" t="str">
        <f t="shared" si="4"/>
        <v>rokprognozy=2029 i lp=29</v>
      </c>
      <c r="V32" s="16" t="str">
        <f t="shared" si="4"/>
        <v>rokprognozy=2030 i lp=29</v>
      </c>
      <c r="W32" s="16" t="str">
        <f t="shared" si="4"/>
        <v>rokprognozy=2031 i lp=29</v>
      </c>
      <c r="X32" s="16" t="str">
        <f t="shared" si="4"/>
        <v>rokprognozy=2032 i lp=29</v>
      </c>
      <c r="Y32" s="16" t="str">
        <f t="shared" si="4"/>
        <v>rokprognozy=2033 i lp=29</v>
      </c>
      <c r="Z32" s="16" t="str">
        <f t="shared" si="4"/>
        <v>rokprognozy=2034 i lp=29</v>
      </c>
      <c r="AA32" s="16" t="str">
        <f t="shared" si="4"/>
        <v>rokprognozy=2035 i lp=29</v>
      </c>
      <c r="AB32" s="16" t="str">
        <f>+"rokprognozy="&amp;AB$3&amp;" i lp="&amp;$A32</f>
        <v>rokprognozy=2036 i lp=29</v>
      </c>
      <c r="AC32" s="16" t="str">
        <f t="shared" si="5"/>
        <v>rokprognozy=2037 i lp=29</v>
      </c>
      <c r="AD32" s="16" t="str">
        <f t="shared" si="5"/>
        <v>rokprognozy=2038 i lp=29</v>
      </c>
      <c r="AE32" s="16" t="str">
        <f t="shared" si="5"/>
        <v>rokprognozy=2039 i lp=29</v>
      </c>
      <c r="AF32" s="16" t="str">
        <f t="shared" si="5"/>
        <v>rokprognozy=2040 i lp=29</v>
      </c>
      <c r="AG32" s="16" t="str">
        <f t="shared" si="5"/>
        <v>rokprognozy=2041 i lp=29</v>
      </c>
      <c r="AH32" s="16" t="str">
        <f t="shared" si="5"/>
        <v>rokprognozy=2042 i lp=29</v>
      </c>
      <c r="AI32" s="16" t="str">
        <f t="shared" si="5"/>
        <v>rokprognozy=2043 i lp=29</v>
      </c>
      <c r="AJ32" s="16" t="str">
        <f t="shared" si="5"/>
        <v>rokprognozy=2044 i lp=29</v>
      </c>
      <c r="AK32" s="16" t="str">
        <f t="shared" si="5"/>
        <v>rokprognozy=2045 i lp=29</v>
      </c>
      <c r="AL32" s="16" t="str">
        <f t="shared" si="5"/>
        <v>rokprognozy=2046 i lp=29</v>
      </c>
      <c r="AM32" s="16" t="str">
        <f t="shared" si="5"/>
        <v>rokprognozy=2047 i lp=29</v>
      </c>
      <c r="AN32" s="16" t="str">
        <f t="shared" si="5"/>
        <v>rokprognozy=2048 i lp=29</v>
      </c>
      <c r="AO32" s="16" t="str">
        <f t="shared" si="5"/>
        <v>rokprognozy=2049 i lp=29</v>
      </c>
      <c r="AP32" s="16" t="str">
        <f t="shared" si="5"/>
        <v>rokprognozy=2050 i lp=29</v>
      </c>
    </row>
    <row r="33" spans="1:42">
      <c r="A33" s="6">
        <v>30</v>
      </c>
      <c r="B33" s="17">
        <v>11</v>
      </c>
      <c r="C33" s="19" t="s">
        <v>16</v>
      </c>
      <c r="D33" s="15" t="str">
        <f t="shared" si="6"/>
        <v>rokprognozy=2012 i lp=30</v>
      </c>
      <c r="E33" s="15" t="str">
        <f t="shared" si="6"/>
        <v>rokprognozy=2013 i lp=30</v>
      </c>
      <c r="F33" s="16" t="str">
        <f t="shared" si="6"/>
        <v>rokprognozy=2014 i lp=30</v>
      </c>
      <c r="G33" s="16" t="str">
        <f t="shared" si="6"/>
        <v>rokprognozy=2015 i lp=30</v>
      </c>
      <c r="H33" s="16" t="str">
        <f t="shared" si="6"/>
        <v>rokprognozy=2016 i lp=30</v>
      </c>
      <c r="I33" s="16" t="str">
        <f t="shared" si="6"/>
        <v>rokprognozy=2017 i lp=30</v>
      </c>
      <c r="J33" s="16" t="str">
        <f t="shared" si="6"/>
        <v>rokprognozy=2018 i lp=30</v>
      </c>
      <c r="K33" s="16" t="str">
        <f t="shared" si="6"/>
        <v>rokprognozy=2019 i lp=30</v>
      </c>
      <c r="L33" s="16" t="str">
        <f t="shared" si="6"/>
        <v>rokprognozy=2020 i lp=30</v>
      </c>
      <c r="M33" s="16" t="str">
        <f t="shared" si="6"/>
        <v>rokprognozy=2021 i lp=30</v>
      </c>
      <c r="N33" s="16" t="str">
        <f t="shared" si="6"/>
        <v>rokprognozy=2022 i lp=30</v>
      </c>
      <c r="O33" s="16" t="str">
        <f t="shared" si="6"/>
        <v>rokprognozy=2023 i lp=30</v>
      </c>
      <c r="P33" s="16" t="str">
        <f t="shared" si="6"/>
        <v>rokprognozy=2024 i lp=30</v>
      </c>
      <c r="Q33" s="16" t="str">
        <f t="shared" si="6"/>
        <v>rokprognozy=2025 i lp=30</v>
      </c>
      <c r="R33" s="16" t="str">
        <f t="shared" si="6"/>
        <v>rokprognozy=2026 i lp=30</v>
      </c>
      <c r="S33" s="16" t="str">
        <f t="shared" si="6"/>
        <v>rokprognozy=2027 i lp=30</v>
      </c>
      <c r="T33" s="16" t="str">
        <f t="shared" ref="M33:AB49" si="7">+"rokprognozy="&amp;T$3&amp;" i lp="&amp;$A33</f>
        <v>rokprognozy=2028 i lp=30</v>
      </c>
      <c r="U33" s="16" t="str">
        <f t="shared" si="7"/>
        <v>rokprognozy=2029 i lp=30</v>
      </c>
      <c r="V33" s="16" t="str">
        <f t="shared" si="7"/>
        <v>rokprognozy=2030 i lp=30</v>
      </c>
      <c r="W33" s="16" t="str">
        <f t="shared" si="7"/>
        <v>rokprognozy=2031 i lp=30</v>
      </c>
      <c r="X33" s="16" t="str">
        <f t="shared" si="7"/>
        <v>rokprognozy=2032 i lp=30</v>
      </c>
      <c r="Y33" s="16" t="str">
        <f t="shared" si="7"/>
        <v>rokprognozy=2033 i lp=30</v>
      </c>
      <c r="Z33" s="16" t="str">
        <f t="shared" si="7"/>
        <v>rokprognozy=2034 i lp=30</v>
      </c>
      <c r="AA33" s="16" t="str">
        <f t="shared" si="7"/>
        <v>rokprognozy=2035 i lp=30</v>
      </c>
      <c r="AB33" s="16" t="str">
        <f t="shared" si="7"/>
        <v>rokprognozy=2036 i lp=30</v>
      </c>
      <c r="AC33" s="16" t="str">
        <f t="shared" si="5"/>
        <v>rokprognozy=2037 i lp=30</v>
      </c>
      <c r="AD33" s="16" t="str">
        <f t="shared" si="5"/>
        <v>rokprognozy=2038 i lp=30</v>
      </c>
      <c r="AE33" s="16" t="str">
        <f t="shared" si="5"/>
        <v>rokprognozy=2039 i lp=30</v>
      </c>
      <c r="AF33" s="16" t="str">
        <f t="shared" si="5"/>
        <v>rokprognozy=2040 i lp=30</v>
      </c>
      <c r="AG33" s="16" t="str">
        <f t="shared" si="5"/>
        <v>rokprognozy=2041 i lp=30</v>
      </c>
      <c r="AH33" s="16" t="str">
        <f t="shared" si="5"/>
        <v>rokprognozy=2042 i lp=30</v>
      </c>
      <c r="AI33" s="16" t="str">
        <f t="shared" si="5"/>
        <v>rokprognozy=2043 i lp=30</v>
      </c>
      <c r="AJ33" s="16" t="str">
        <f t="shared" si="5"/>
        <v>rokprognozy=2044 i lp=30</v>
      </c>
      <c r="AK33" s="16" t="str">
        <f t="shared" si="5"/>
        <v>rokprognozy=2045 i lp=30</v>
      </c>
      <c r="AL33" s="16" t="str">
        <f t="shared" si="5"/>
        <v>rokprognozy=2046 i lp=30</v>
      </c>
      <c r="AM33" s="16" t="str">
        <f t="shared" si="5"/>
        <v>rokprognozy=2047 i lp=30</v>
      </c>
      <c r="AN33" s="16" t="str">
        <f t="shared" si="5"/>
        <v>rokprognozy=2048 i lp=30</v>
      </c>
      <c r="AO33" s="16" t="str">
        <f t="shared" si="5"/>
        <v>rokprognozy=2049 i lp=30</v>
      </c>
      <c r="AP33" s="16" t="str">
        <f t="shared" si="5"/>
        <v>rokprognozy=2050 i lp=30</v>
      </c>
    </row>
    <row r="34" spans="1:42">
      <c r="A34" s="6">
        <v>31</v>
      </c>
      <c r="B34" s="17" t="s">
        <v>74</v>
      </c>
      <c r="C34" s="19" t="s">
        <v>57</v>
      </c>
      <c r="D34" s="15" t="str">
        <f t="shared" si="6"/>
        <v>rokprognozy=2012 i lp=31</v>
      </c>
      <c r="E34" s="15" t="str">
        <f t="shared" si="6"/>
        <v>rokprognozy=2013 i lp=31</v>
      </c>
      <c r="F34" s="16" t="str">
        <f t="shared" si="6"/>
        <v>rokprognozy=2014 i lp=31</v>
      </c>
      <c r="G34" s="16" t="str">
        <f t="shared" si="6"/>
        <v>rokprognozy=2015 i lp=31</v>
      </c>
      <c r="H34" s="16" t="str">
        <f t="shared" si="6"/>
        <v>rokprognozy=2016 i lp=31</v>
      </c>
      <c r="I34" s="16" t="str">
        <f t="shared" si="6"/>
        <v>rokprognozy=2017 i lp=31</v>
      </c>
      <c r="J34" s="16" t="str">
        <f t="shared" si="6"/>
        <v>rokprognozy=2018 i lp=31</v>
      </c>
      <c r="K34" s="16" t="str">
        <f t="shared" si="6"/>
        <v>rokprognozy=2019 i lp=31</v>
      </c>
      <c r="L34" s="16" t="str">
        <f t="shared" si="6"/>
        <v>rokprognozy=2020 i lp=31</v>
      </c>
      <c r="M34" s="16" t="str">
        <f t="shared" si="7"/>
        <v>rokprognozy=2021 i lp=31</v>
      </c>
      <c r="N34" s="16" t="str">
        <f t="shared" si="7"/>
        <v>rokprognozy=2022 i lp=31</v>
      </c>
      <c r="O34" s="16" t="str">
        <f t="shared" si="7"/>
        <v>rokprognozy=2023 i lp=31</v>
      </c>
      <c r="P34" s="16" t="str">
        <f t="shared" si="7"/>
        <v>rokprognozy=2024 i lp=31</v>
      </c>
      <c r="Q34" s="16" t="str">
        <f t="shared" si="7"/>
        <v>rokprognozy=2025 i lp=31</v>
      </c>
      <c r="R34" s="16" t="str">
        <f t="shared" si="7"/>
        <v>rokprognozy=2026 i lp=31</v>
      </c>
      <c r="S34" s="16" t="str">
        <f t="shared" si="7"/>
        <v>rokprognozy=2027 i lp=31</v>
      </c>
      <c r="T34" s="16" t="str">
        <f t="shared" si="7"/>
        <v>rokprognozy=2028 i lp=31</v>
      </c>
      <c r="U34" s="16" t="str">
        <f t="shared" si="7"/>
        <v>rokprognozy=2029 i lp=31</v>
      </c>
      <c r="V34" s="16" t="str">
        <f t="shared" si="7"/>
        <v>rokprognozy=2030 i lp=31</v>
      </c>
      <c r="W34" s="16" t="str">
        <f t="shared" si="7"/>
        <v>rokprognozy=2031 i lp=31</v>
      </c>
      <c r="X34" s="16" t="str">
        <f t="shared" si="7"/>
        <v>rokprognozy=2032 i lp=31</v>
      </c>
      <c r="Y34" s="16" t="str">
        <f t="shared" si="7"/>
        <v>rokprognozy=2033 i lp=31</v>
      </c>
      <c r="Z34" s="16" t="str">
        <f t="shared" si="7"/>
        <v>rokprognozy=2034 i lp=31</v>
      </c>
      <c r="AA34" s="16" t="str">
        <f t="shared" si="7"/>
        <v>rokprognozy=2035 i lp=31</v>
      </c>
      <c r="AB34" s="16" t="str">
        <f t="shared" si="7"/>
        <v>rokprognozy=2036 i lp=31</v>
      </c>
      <c r="AC34" s="16" t="str">
        <f t="shared" ref="AC34:AP52" si="8">+"rokprognozy="&amp;AC$3&amp;" i lp="&amp;$A34</f>
        <v>rokprognozy=2037 i lp=31</v>
      </c>
      <c r="AD34" s="16" t="str">
        <f t="shared" si="8"/>
        <v>rokprognozy=2038 i lp=31</v>
      </c>
      <c r="AE34" s="16" t="str">
        <f t="shared" si="8"/>
        <v>rokprognozy=2039 i lp=31</v>
      </c>
      <c r="AF34" s="16" t="str">
        <f t="shared" si="8"/>
        <v>rokprognozy=2040 i lp=31</v>
      </c>
      <c r="AG34" s="16" t="str">
        <f t="shared" si="8"/>
        <v>rokprognozy=2041 i lp=31</v>
      </c>
      <c r="AH34" s="16" t="str">
        <f t="shared" si="8"/>
        <v>rokprognozy=2042 i lp=31</v>
      </c>
      <c r="AI34" s="16" t="str">
        <f t="shared" si="8"/>
        <v>rokprognozy=2043 i lp=31</v>
      </c>
      <c r="AJ34" s="16" t="str">
        <f t="shared" si="8"/>
        <v>rokprognozy=2044 i lp=31</v>
      </c>
      <c r="AK34" s="16" t="str">
        <f t="shared" si="8"/>
        <v>rokprognozy=2045 i lp=31</v>
      </c>
      <c r="AL34" s="16" t="str">
        <f t="shared" si="8"/>
        <v>rokprognozy=2046 i lp=31</v>
      </c>
      <c r="AM34" s="16" t="str">
        <f t="shared" si="8"/>
        <v>rokprognozy=2047 i lp=31</v>
      </c>
      <c r="AN34" s="16" t="str">
        <f t="shared" si="8"/>
        <v>rokprognozy=2048 i lp=31</v>
      </c>
      <c r="AO34" s="16" t="str">
        <f t="shared" si="8"/>
        <v>rokprognozy=2049 i lp=31</v>
      </c>
      <c r="AP34" s="16" t="str">
        <f t="shared" si="8"/>
        <v>rokprognozy=2050 i lp=31</v>
      </c>
    </row>
    <row r="35" spans="1:42">
      <c r="A35" s="6">
        <v>32</v>
      </c>
      <c r="B35" s="17">
        <v>12</v>
      </c>
      <c r="C35" s="19" t="s">
        <v>75</v>
      </c>
      <c r="D35" s="15" t="str">
        <f t="shared" si="6"/>
        <v>rokprognozy=2012 i lp=32</v>
      </c>
      <c r="E35" s="15" t="str">
        <f t="shared" si="6"/>
        <v>rokprognozy=2013 i lp=32</v>
      </c>
      <c r="F35" s="16" t="str">
        <f t="shared" si="6"/>
        <v>rokprognozy=2014 i lp=32</v>
      </c>
      <c r="G35" s="16" t="str">
        <f t="shared" si="6"/>
        <v>rokprognozy=2015 i lp=32</v>
      </c>
      <c r="H35" s="16" t="str">
        <f t="shared" si="6"/>
        <v>rokprognozy=2016 i lp=32</v>
      </c>
      <c r="I35" s="16" t="str">
        <f t="shared" si="6"/>
        <v>rokprognozy=2017 i lp=32</v>
      </c>
      <c r="J35" s="16" t="str">
        <f t="shared" si="6"/>
        <v>rokprognozy=2018 i lp=32</v>
      </c>
      <c r="K35" s="16" t="str">
        <f t="shared" si="6"/>
        <v>rokprognozy=2019 i lp=32</v>
      </c>
      <c r="L35" s="16" t="str">
        <f t="shared" si="6"/>
        <v>rokprognozy=2020 i lp=32</v>
      </c>
      <c r="M35" s="16" t="str">
        <f t="shared" si="7"/>
        <v>rokprognozy=2021 i lp=32</v>
      </c>
      <c r="N35" s="16" t="str">
        <f t="shared" si="7"/>
        <v>rokprognozy=2022 i lp=32</v>
      </c>
      <c r="O35" s="16" t="str">
        <f t="shared" si="7"/>
        <v>rokprognozy=2023 i lp=32</v>
      </c>
      <c r="P35" s="16" t="str">
        <f t="shared" si="7"/>
        <v>rokprognozy=2024 i lp=32</v>
      </c>
      <c r="Q35" s="16" t="str">
        <f t="shared" si="7"/>
        <v>rokprognozy=2025 i lp=32</v>
      </c>
      <c r="R35" s="16" t="str">
        <f t="shared" si="7"/>
        <v>rokprognozy=2026 i lp=32</v>
      </c>
      <c r="S35" s="16" t="str">
        <f t="shared" si="7"/>
        <v>rokprognozy=2027 i lp=32</v>
      </c>
      <c r="T35" s="16" t="str">
        <f t="shared" si="7"/>
        <v>rokprognozy=2028 i lp=32</v>
      </c>
      <c r="U35" s="16" t="str">
        <f t="shared" si="7"/>
        <v>rokprognozy=2029 i lp=32</v>
      </c>
      <c r="V35" s="16" t="str">
        <f t="shared" si="7"/>
        <v>rokprognozy=2030 i lp=32</v>
      </c>
      <c r="W35" s="16" t="str">
        <f t="shared" si="7"/>
        <v>rokprognozy=2031 i lp=32</v>
      </c>
      <c r="X35" s="16" t="str">
        <f t="shared" si="7"/>
        <v>rokprognozy=2032 i lp=32</v>
      </c>
      <c r="Y35" s="16" t="str">
        <f t="shared" si="7"/>
        <v>rokprognozy=2033 i lp=32</v>
      </c>
      <c r="Z35" s="16" t="str">
        <f t="shared" si="7"/>
        <v>rokprognozy=2034 i lp=32</v>
      </c>
      <c r="AA35" s="16" t="str">
        <f t="shared" si="7"/>
        <v>rokprognozy=2035 i lp=32</v>
      </c>
      <c r="AB35" s="16" t="str">
        <f t="shared" si="7"/>
        <v>rokprognozy=2036 i lp=32</v>
      </c>
      <c r="AC35" s="16" t="str">
        <f t="shared" si="8"/>
        <v>rokprognozy=2037 i lp=32</v>
      </c>
      <c r="AD35" s="16" t="str">
        <f t="shared" si="8"/>
        <v>rokprognozy=2038 i lp=32</v>
      </c>
      <c r="AE35" s="16" t="str">
        <f t="shared" si="8"/>
        <v>rokprognozy=2039 i lp=32</v>
      </c>
      <c r="AF35" s="16" t="str">
        <f t="shared" si="8"/>
        <v>rokprognozy=2040 i lp=32</v>
      </c>
      <c r="AG35" s="16" t="str">
        <f t="shared" si="8"/>
        <v>rokprognozy=2041 i lp=32</v>
      </c>
      <c r="AH35" s="16" t="str">
        <f t="shared" si="8"/>
        <v>rokprognozy=2042 i lp=32</v>
      </c>
      <c r="AI35" s="16" t="str">
        <f t="shared" si="8"/>
        <v>rokprognozy=2043 i lp=32</v>
      </c>
      <c r="AJ35" s="16" t="str">
        <f t="shared" si="8"/>
        <v>rokprognozy=2044 i lp=32</v>
      </c>
      <c r="AK35" s="16" t="str">
        <f t="shared" si="8"/>
        <v>rokprognozy=2045 i lp=32</v>
      </c>
      <c r="AL35" s="16" t="str">
        <f t="shared" si="8"/>
        <v>rokprognozy=2046 i lp=32</v>
      </c>
      <c r="AM35" s="16" t="str">
        <f t="shared" si="8"/>
        <v>rokprognozy=2047 i lp=32</v>
      </c>
      <c r="AN35" s="16" t="str">
        <f t="shared" si="8"/>
        <v>rokprognozy=2048 i lp=32</v>
      </c>
      <c r="AO35" s="16" t="str">
        <f t="shared" si="8"/>
        <v>rokprognozy=2049 i lp=32</v>
      </c>
      <c r="AP35" s="16" t="str">
        <f t="shared" si="8"/>
        <v>rokprognozy=2050 i lp=32</v>
      </c>
    </row>
    <row r="36" spans="1:42">
      <c r="A36" s="6">
        <v>33</v>
      </c>
      <c r="B36" s="17">
        <v>13</v>
      </c>
      <c r="C36" s="19" t="s">
        <v>17</v>
      </c>
      <c r="D36" s="15" t="str">
        <f t="shared" si="6"/>
        <v>rokprognozy=2012 i lp=33</v>
      </c>
      <c r="E36" s="15" t="str">
        <f t="shared" si="6"/>
        <v>rokprognozy=2013 i lp=33</v>
      </c>
      <c r="F36" s="16" t="str">
        <f t="shared" si="6"/>
        <v>rokprognozy=2014 i lp=33</v>
      </c>
      <c r="G36" s="16" t="str">
        <f t="shared" si="6"/>
        <v>rokprognozy=2015 i lp=33</v>
      </c>
      <c r="H36" s="16" t="str">
        <f t="shared" si="6"/>
        <v>rokprognozy=2016 i lp=33</v>
      </c>
      <c r="I36" s="16" t="str">
        <f t="shared" si="6"/>
        <v>rokprognozy=2017 i lp=33</v>
      </c>
      <c r="J36" s="16" t="str">
        <f t="shared" si="6"/>
        <v>rokprognozy=2018 i lp=33</v>
      </c>
      <c r="K36" s="16" t="str">
        <f t="shared" si="6"/>
        <v>rokprognozy=2019 i lp=33</v>
      </c>
      <c r="L36" s="16" t="str">
        <f t="shared" si="6"/>
        <v>rokprognozy=2020 i lp=33</v>
      </c>
      <c r="M36" s="16" t="str">
        <f t="shared" si="7"/>
        <v>rokprognozy=2021 i lp=33</v>
      </c>
      <c r="N36" s="16" t="str">
        <f t="shared" si="7"/>
        <v>rokprognozy=2022 i lp=33</v>
      </c>
      <c r="O36" s="16" t="str">
        <f t="shared" si="7"/>
        <v>rokprognozy=2023 i lp=33</v>
      </c>
      <c r="P36" s="16" t="str">
        <f t="shared" si="7"/>
        <v>rokprognozy=2024 i lp=33</v>
      </c>
      <c r="Q36" s="16" t="str">
        <f t="shared" si="7"/>
        <v>rokprognozy=2025 i lp=33</v>
      </c>
      <c r="R36" s="16" t="str">
        <f t="shared" si="7"/>
        <v>rokprognozy=2026 i lp=33</v>
      </c>
      <c r="S36" s="16" t="str">
        <f t="shared" si="7"/>
        <v>rokprognozy=2027 i lp=33</v>
      </c>
      <c r="T36" s="16" t="str">
        <f t="shared" si="7"/>
        <v>rokprognozy=2028 i lp=33</v>
      </c>
      <c r="U36" s="16" t="str">
        <f t="shared" si="7"/>
        <v>rokprognozy=2029 i lp=33</v>
      </c>
      <c r="V36" s="16" t="str">
        <f t="shared" si="7"/>
        <v>rokprognozy=2030 i lp=33</v>
      </c>
      <c r="W36" s="16" t="str">
        <f t="shared" si="7"/>
        <v>rokprognozy=2031 i lp=33</v>
      </c>
      <c r="X36" s="16" t="str">
        <f t="shared" si="7"/>
        <v>rokprognozy=2032 i lp=33</v>
      </c>
      <c r="Y36" s="16" t="str">
        <f t="shared" si="7"/>
        <v>rokprognozy=2033 i lp=33</v>
      </c>
      <c r="Z36" s="16" t="str">
        <f t="shared" si="7"/>
        <v>rokprognozy=2034 i lp=33</v>
      </c>
      <c r="AA36" s="16" t="str">
        <f t="shared" si="7"/>
        <v>rokprognozy=2035 i lp=33</v>
      </c>
      <c r="AB36" s="16" t="str">
        <f t="shared" si="7"/>
        <v>rokprognozy=2036 i lp=33</v>
      </c>
      <c r="AC36" s="16" t="str">
        <f t="shared" si="8"/>
        <v>rokprognozy=2037 i lp=33</v>
      </c>
      <c r="AD36" s="16" t="str">
        <f t="shared" si="8"/>
        <v>rokprognozy=2038 i lp=33</v>
      </c>
      <c r="AE36" s="16" t="str">
        <f t="shared" si="8"/>
        <v>rokprognozy=2039 i lp=33</v>
      </c>
      <c r="AF36" s="16" t="str">
        <f t="shared" si="8"/>
        <v>rokprognozy=2040 i lp=33</v>
      </c>
      <c r="AG36" s="16" t="str">
        <f t="shared" si="8"/>
        <v>rokprognozy=2041 i lp=33</v>
      </c>
      <c r="AH36" s="16" t="str">
        <f t="shared" si="8"/>
        <v>rokprognozy=2042 i lp=33</v>
      </c>
      <c r="AI36" s="16" t="str">
        <f t="shared" si="8"/>
        <v>rokprognozy=2043 i lp=33</v>
      </c>
      <c r="AJ36" s="16" t="str">
        <f t="shared" si="8"/>
        <v>rokprognozy=2044 i lp=33</v>
      </c>
      <c r="AK36" s="16" t="str">
        <f t="shared" si="8"/>
        <v>rokprognozy=2045 i lp=33</v>
      </c>
      <c r="AL36" s="16" t="str">
        <f t="shared" si="8"/>
        <v>rokprognozy=2046 i lp=33</v>
      </c>
      <c r="AM36" s="16" t="str">
        <f t="shared" si="8"/>
        <v>rokprognozy=2047 i lp=33</v>
      </c>
      <c r="AN36" s="16" t="str">
        <f t="shared" si="8"/>
        <v>rokprognozy=2048 i lp=33</v>
      </c>
      <c r="AO36" s="16" t="str">
        <f t="shared" si="8"/>
        <v>rokprognozy=2049 i lp=33</v>
      </c>
      <c r="AP36" s="16" t="str">
        <f t="shared" si="8"/>
        <v>rokprognozy=2050 i lp=33</v>
      </c>
    </row>
    <row r="37" spans="1:42" ht="24">
      <c r="A37" s="6">
        <v>34</v>
      </c>
      <c r="B37" s="17" t="s">
        <v>76</v>
      </c>
      <c r="C37" s="19" t="s">
        <v>77</v>
      </c>
      <c r="D37" s="15" t="str">
        <f t="shared" si="6"/>
        <v>rokprognozy=2012 i lp=34</v>
      </c>
      <c r="E37" s="15" t="str">
        <f t="shared" si="6"/>
        <v>rokprognozy=2013 i lp=34</v>
      </c>
      <c r="F37" s="16" t="str">
        <f t="shared" si="6"/>
        <v>rokprognozy=2014 i lp=34</v>
      </c>
      <c r="G37" s="16" t="str">
        <f t="shared" si="6"/>
        <v>rokprognozy=2015 i lp=34</v>
      </c>
      <c r="H37" s="16" t="str">
        <f t="shared" si="6"/>
        <v>rokprognozy=2016 i lp=34</v>
      </c>
      <c r="I37" s="16" t="str">
        <f t="shared" si="6"/>
        <v>rokprognozy=2017 i lp=34</v>
      </c>
      <c r="J37" s="16" t="str">
        <f t="shared" si="6"/>
        <v>rokprognozy=2018 i lp=34</v>
      </c>
      <c r="K37" s="16" t="str">
        <f t="shared" si="6"/>
        <v>rokprognozy=2019 i lp=34</v>
      </c>
      <c r="L37" s="16" t="str">
        <f t="shared" si="6"/>
        <v>rokprognozy=2020 i lp=34</v>
      </c>
      <c r="M37" s="16" t="str">
        <f t="shared" si="7"/>
        <v>rokprognozy=2021 i lp=34</v>
      </c>
      <c r="N37" s="16" t="str">
        <f t="shared" si="7"/>
        <v>rokprognozy=2022 i lp=34</v>
      </c>
      <c r="O37" s="16" t="str">
        <f t="shared" si="7"/>
        <v>rokprognozy=2023 i lp=34</v>
      </c>
      <c r="P37" s="16" t="str">
        <f t="shared" si="7"/>
        <v>rokprognozy=2024 i lp=34</v>
      </c>
      <c r="Q37" s="16" t="str">
        <f t="shared" si="7"/>
        <v>rokprognozy=2025 i lp=34</v>
      </c>
      <c r="R37" s="16" t="str">
        <f t="shared" si="7"/>
        <v>rokprognozy=2026 i lp=34</v>
      </c>
      <c r="S37" s="16" t="str">
        <f t="shared" si="7"/>
        <v>rokprognozy=2027 i lp=34</v>
      </c>
      <c r="T37" s="16" t="str">
        <f t="shared" si="7"/>
        <v>rokprognozy=2028 i lp=34</v>
      </c>
      <c r="U37" s="16" t="str">
        <f t="shared" si="7"/>
        <v>rokprognozy=2029 i lp=34</v>
      </c>
      <c r="V37" s="16" t="str">
        <f t="shared" si="7"/>
        <v>rokprognozy=2030 i lp=34</v>
      </c>
      <c r="W37" s="16" t="str">
        <f t="shared" si="7"/>
        <v>rokprognozy=2031 i lp=34</v>
      </c>
      <c r="X37" s="16" t="str">
        <f t="shared" si="7"/>
        <v>rokprognozy=2032 i lp=34</v>
      </c>
      <c r="Y37" s="16" t="str">
        <f t="shared" si="7"/>
        <v>rokprognozy=2033 i lp=34</v>
      </c>
      <c r="Z37" s="16" t="str">
        <f t="shared" si="7"/>
        <v>rokprognozy=2034 i lp=34</v>
      </c>
      <c r="AA37" s="16" t="str">
        <f t="shared" si="7"/>
        <v>rokprognozy=2035 i lp=34</v>
      </c>
      <c r="AB37" s="16" t="str">
        <f t="shared" si="7"/>
        <v>rokprognozy=2036 i lp=34</v>
      </c>
      <c r="AC37" s="16" t="str">
        <f t="shared" si="8"/>
        <v>rokprognozy=2037 i lp=34</v>
      </c>
      <c r="AD37" s="16" t="str">
        <f t="shared" si="8"/>
        <v>rokprognozy=2038 i lp=34</v>
      </c>
      <c r="AE37" s="16" t="str">
        <f t="shared" si="8"/>
        <v>rokprognozy=2039 i lp=34</v>
      </c>
      <c r="AF37" s="16" t="str">
        <f t="shared" si="8"/>
        <v>rokprognozy=2040 i lp=34</v>
      </c>
      <c r="AG37" s="16" t="str">
        <f t="shared" si="8"/>
        <v>rokprognozy=2041 i lp=34</v>
      </c>
      <c r="AH37" s="16" t="str">
        <f t="shared" si="8"/>
        <v>rokprognozy=2042 i lp=34</v>
      </c>
      <c r="AI37" s="16" t="str">
        <f t="shared" si="8"/>
        <v>rokprognozy=2043 i lp=34</v>
      </c>
      <c r="AJ37" s="16" t="str">
        <f t="shared" si="8"/>
        <v>rokprognozy=2044 i lp=34</v>
      </c>
      <c r="AK37" s="16" t="str">
        <f t="shared" si="8"/>
        <v>rokprognozy=2045 i lp=34</v>
      </c>
      <c r="AL37" s="16" t="str">
        <f t="shared" si="8"/>
        <v>rokprognozy=2046 i lp=34</v>
      </c>
      <c r="AM37" s="16" t="str">
        <f t="shared" si="8"/>
        <v>rokprognozy=2047 i lp=34</v>
      </c>
      <c r="AN37" s="16" t="str">
        <f t="shared" si="8"/>
        <v>rokprognozy=2048 i lp=34</v>
      </c>
      <c r="AO37" s="16" t="str">
        <f t="shared" si="8"/>
        <v>rokprognozy=2049 i lp=34</v>
      </c>
      <c r="AP37" s="16" t="str">
        <f t="shared" si="8"/>
        <v>rokprognozy=2050 i lp=34</v>
      </c>
    </row>
    <row r="38" spans="1:42">
      <c r="A38" s="6">
        <v>35</v>
      </c>
      <c r="B38" s="17">
        <v>14</v>
      </c>
      <c r="C38" s="19" t="s">
        <v>19</v>
      </c>
      <c r="D38" s="15" t="str">
        <f t="shared" si="6"/>
        <v>rokprognozy=2012 i lp=35</v>
      </c>
      <c r="E38" s="15" t="str">
        <f t="shared" si="6"/>
        <v>rokprognozy=2013 i lp=35</v>
      </c>
      <c r="F38" s="16" t="str">
        <f t="shared" si="6"/>
        <v>rokprognozy=2014 i lp=35</v>
      </c>
      <c r="G38" s="16" t="str">
        <f t="shared" si="6"/>
        <v>rokprognozy=2015 i lp=35</v>
      </c>
      <c r="H38" s="16" t="str">
        <f t="shared" si="6"/>
        <v>rokprognozy=2016 i lp=35</v>
      </c>
      <c r="I38" s="16" t="str">
        <f t="shared" si="6"/>
        <v>rokprognozy=2017 i lp=35</v>
      </c>
      <c r="J38" s="16" t="str">
        <f t="shared" si="6"/>
        <v>rokprognozy=2018 i lp=35</v>
      </c>
      <c r="K38" s="16" t="str">
        <f t="shared" si="6"/>
        <v>rokprognozy=2019 i lp=35</v>
      </c>
      <c r="L38" s="16" t="str">
        <f t="shared" si="6"/>
        <v>rokprognozy=2020 i lp=35</v>
      </c>
      <c r="M38" s="16" t="str">
        <f t="shared" si="7"/>
        <v>rokprognozy=2021 i lp=35</v>
      </c>
      <c r="N38" s="16" t="str">
        <f t="shared" si="7"/>
        <v>rokprognozy=2022 i lp=35</v>
      </c>
      <c r="O38" s="16" t="str">
        <f t="shared" si="7"/>
        <v>rokprognozy=2023 i lp=35</v>
      </c>
      <c r="P38" s="16" t="str">
        <f t="shared" si="7"/>
        <v>rokprognozy=2024 i lp=35</v>
      </c>
      <c r="Q38" s="16" t="str">
        <f t="shared" si="7"/>
        <v>rokprognozy=2025 i lp=35</v>
      </c>
      <c r="R38" s="16" t="str">
        <f t="shared" si="7"/>
        <v>rokprognozy=2026 i lp=35</v>
      </c>
      <c r="S38" s="16" t="str">
        <f t="shared" si="7"/>
        <v>rokprognozy=2027 i lp=35</v>
      </c>
      <c r="T38" s="16" t="str">
        <f t="shared" si="7"/>
        <v>rokprognozy=2028 i lp=35</v>
      </c>
      <c r="U38" s="16" t="str">
        <f t="shared" si="7"/>
        <v>rokprognozy=2029 i lp=35</v>
      </c>
      <c r="V38" s="16" t="str">
        <f t="shared" si="7"/>
        <v>rokprognozy=2030 i lp=35</v>
      </c>
      <c r="W38" s="16" t="str">
        <f t="shared" si="7"/>
        <v>rokprognozy=2031 i lp=35</v>
      </c>
      <c r="X38" s="16" t="str">
        <f t="shared" si="7"/>
        <v>rokprognozy=2032 i lp=35</v>
      </c>
      <c r="Y38" s="16" t="str">
        <f t="shared" si="7"/>
        <v>rokprognozy=2033 i lp=35</v>
      </c>
      <c r="Z38" s="16" t="str">
        <f t="shared" si="7"/>
        <v>rokprognozy=2034 i lp=35</v>
      </c>
      <c r="AA38" s="16" t="str">
        <f t="shared" si="7"/>
        <v>rokprognozy=2035 i lp=35</v>
      </c>
      <c r="AB38" s="16" t="str">
        <f t="shared" si="7"/>
        <v>rokprognozy=2036 i lp=35</v>
      </c>
      <c r="AC38" s="16" t="str">
        <f t="shared" si="8"/>
        <v>rokprognozy=2037 i lp=35</v>
      </c>
      <c r="AD38" s="16" t="str">
        <f t="shared" si="8"/>
        <v>rokprognozy=2038 i lp=35</v>
      </c>
      <c r="AE38" s="16" t="str">
        <f t="shared" si="8"/>
        <v>rokprognozy=2039 i lp=35</v>
      </c>
      <c r="AF38" s="16" t="str">
        <f t="shared" si="8"/>
        <v>rokprognozy=2040 i lp=35</v>
      </c>
      <c r="AG38" s="16" t="str">
        <f t="shared" si="8"/>
        <v>rokprognozy=2041 i lp=35</v>
      </c>
      <c r="AH38" s="16" t="str">
        <f t="shared" si="8"/>
        <v>rokprognozy=2042 i lp=35</v>
      </c>
      <c r="AI38" s="16" t="str">
        <f t="shared" si="8"/>
        <v>rokprognozy=2043 i lp=35</v>
      </c>
      <c r="AJ38" s="16" t="str">
        <f t="shared" si="8"/>
        <v>rokprognozy=2044 i lp=35</v>
      </c>
      <c r="AK38" s="16" t="str">
        <f t="shared" si="8"/>
        <v>rokprognozy=2045 i lp=35</v>
      </c>
      <c r="AL38" s="16" t="str">
        <f t="shared" si="8"/>
        <v>rokprognozy=2046 i lp=35</v>
      </c>
      <c r="AM38" s="16" t="str">
        <f t="shared" si="8"/>
        <v>rokprognozy=2047 i lp=35</v>
      </c>
      <c r="AN38" s="16" t="str">
        <f t="shared" si="8"/>
        <v>rokprognozy=2048 i lp=35</v>
      </c>
      <c r="AO38" s="16" t="str">
        <f t="shared" si="8"/>
        <v>rokprognozy=2049 i lp=35</v>
      </c>
      <c r="AP38" s="16" t="str">
        <f t="shared" si="8"/>
        <v>rokprognozy=2050 i lp=35</v>
      </c>
    </row>
    <row r="39" spans="1:42" ht="36">
      <c r="A39" s="6">
        <v>36</v>
      </c>
      <c r="B39" s="17">
        <v>15</v>
      </c>
      <c r="C39" s="19" t="s">
        <v>78</v>
      </c>
      <c r="D39" s="15" t="str">
        <f t="shared" si="6"/>
        <v>rokprognozy=2012 i lp=36</v>
      </c>
      <c r="E39" s="15" t="str">
        <f t="shared" si="6"/>
        <v>rokprognozy=2013 i lp=36</v>
      </c>
      <c r="F39" s="16" t="str">
        <f t="shared" si="6"/>
        <v>rokprognozy=2014 i lp=36</v>
      </c>
      <c r="G39" s="16" t="str">
        <f t="shared" si="6"/>
        <v>rokprognozy=2015 i lp=36</v>
      </c>
      <c r="H39" s="16" t="str">
        <f t="shared" si="6"/>
        <v>rokprognozy=2016 i lp=36</v>
      </c>
      <c r="I39" s="16" t="str">
        <f t="shared" si="6"/>
        <v>rokprognozy=2017 i lp=36</v>
      </c>
      <c r="J39" s="16" t="str">
        <f t="shared" si="6"/>
        <v>rokprognozy=2018 i lp=36</v>
      </c>
      <c r="K39" s="16" t="str">
        <f t="shared" si="6"/>
        <v>rokprognozy=2019 i lp=36</v>
      </c>
      <c r="L39" s="16" t="str">
        <f t="shared" si="6"/>
        <v>rokprognozy=2020 i lp=36</v>
      </c>
      <c r="M39" s="16" t="str">
        <f t="shared" si="7"/>
        <v>rokprognozy=2021 i lp=36</v>
      </c>
      <c r="N39" s="16" t="str">
        <f t="shared" si="7"/>
        <v>rokprognozy=2022 i lp=36</v>
      </c>
      <c r="O39" s="16" t="str">
        <f t="shared" si="7"/>
        <v>rokprognozy=2023 i lp=36</v>
      </c>
      <c r="P39" s="16" t="str">
        <f t="shared" si="7"/>
        <v>rokprognozy=2024 i lp=36</v>
      </c>
      <c r="Q39" s="16" t="str">
        <f t="shared" si="7"/>
        <v>rokprognozy=2025 i lp=36</v>
      </c>
      <c r="R39" s="16" t="str">
        <f t="shared" si="7"/>
        <v>rokprognozy=2026 i lp=36</v>
      </c>
      <c r="S39" s="16" t="str">
        <f t="shared" si="7"/>
        <v>rokprognozy=2027 i lp=36</v>
      </c>
      <c r="T39" s="16" t="str">
        <f t="shared" si="7"/>
        <v>rokprognozy=2028 i lp=36</v>
      </c>
      <c r="U39" s="16" t="str">
        <f t="shared" si="7"/>
        <v>rokprognozy=2029 i lp=36</v>
      </c>
      <c r="V39" s="16" t="str">
        <f t="shared" si="7"/>
        <v>rokprognozy=2030 i lp=36</v>
      </c>
      <c r="W39" s="16" t="str">
        <f t="shared" si="7"/>
        <v>rokprognozy=2031 i lp=36</v>
      </c>
      <c r="X39" s="16" t="str">
        <f t="shared" si="7"/>
        <v>rokprognozy=2032 i lp=36</v>
      </c>
      <c r="Y39" s="16" t="str">
        <f t="shared" si="7"/>
        <v>rokprognozy=2033 i lp=36</v>
      </c>
      <c r="Z39" s="16" t="str">
        <f t="shared" si="7"/>
        <v>rokprognozy=2034 i lp=36</v>
      </c>
      <c r="AA39" s="16" t="str">
        <f t="shared" si="7"/>
        <v>rokprognozy=2035 i lp=36</v>
      </c>
      <c r="AB39" s="16" t="str">
        <f t="shared" si="7"/>
        <v>rokprognozy=2036 i lp=36</v>
      </c>
      <c r="AC39" s="16" t="str">
        <f t="shared" si="8"/>
        <v>rokprognozy=2037 i lp=36</v>
      </c>
      <c r="AD39" s="16" t="str">
        <f t="shared" si="8"/>
        <v>rokprognozy=2038 i lp=36</v>
      </c>
      <c r="AE39" s="16" t="str">
        <f t="shared" si="8"/>
        <v>rokprognozy=2039 i lp=36</v>
      </c>
      <c r="AF39" s="16" t="str">
        <f t="shared" si="8"/>
        <v>rokprognozy=2040 i lp=36</v>
      </c>
      <c r="AG39" s="16" t="str">
        <f t="shared" si="8"/>
        <v>rokprognozy=2041 i lp=36</v>
      </c>
      <c r="AH39" s="16" t="str">
        <f t="shared" si="8"/>
        <v>rokprognozy=2042 i lp=36</v>
      </c>
      <c r="AI39" s="16" t="str">
        <f t="shared" si="8"/>
        <v>rokprognozy=2043 i lp=36</v>
      </c>
      <c r="AJ39" s="16" t="str">
        <f t="shared" si="8"/>
        <v>rokprognozy=2044 i lp=36</v>
      </c>
      <c r="AK39" s="16" t="str">
        <f t="shared" si="8"/>
        <v>rokprognozy=2045 i lp=36</v>
      </c>
      <c r="AL39" s="16" t="str">
        <f t="shared" si="8"/>
        <v>rokprognozy=2046 i lp=36</v>
      </c>
      <c r="AM39" s="16" t="str">
        <f t="shared" si="8"/>
        <v>rokprognozy=2047 i lp=36</v>
      </c>
      <c r="AN39" s="16" t="str">
        <f t="shared" si="8"/>
        <v>rokprognozy=2048 i lp=36</v>
      </c>
      <c r="AO39" s="16" t="str">
        <f t="shared" si="8"/>
        <v>rokprognozy=2049 i lp=36</v>
      </c>
      <c r="AP39" s="16" t="str">
        <f t="shared" si="8"/>
        <v>rokprognozy=2050 i lp=36</v>
      </c>
    </row>
    <row r="40" spans="1:42" ht="24">
      <c r="A40" s="6">
        <v>37</v>
      </c>
      <c r="B40" s="17">
        <v>16</v>
      </c>
      <c r="C40" s="19" t="s">
        <v>79</v>
      </c>
      <c r="D40" s="15" t="str">
        <f t="shared" si="6"/>
        <v>rokprognozy=2012 i lp=37</v>
      </c>
      <c r="E40" s="15" t="str">
        <f t="shared" si="6"/>
        <v>rokprognozy=2013 i lp=37</v>
      </c>
      <c r="F40" s="16" t="str">
        <f t="shared" si="6"/>
        <v>rokprognozy=2014 i lp=37</v>
      </c>
      <c r="G40" s="16" t="str">
        <f t="shared" si="6"/>
        <v>rokprognozy=2015 i lp=37</v>
      </c>
      <c r="H40" s="16" t="str">
        <f t="shared" si="6"/>
        <v>rokprognozy=2016 i lp=37</v>
      </c>
      <c r="I40" s="16" t="str">
        <f t="shared" si="6"/>
        <v>rokprognozy=2017 i lp=37</v>
      </c>
      <c r="J40" s="16" t="str">
        <f t="shared" si="6"/>
        <v>rokprognozy=2018 i lp=37</v>
      </c>
      <c r="K40" s="16" t="str">
        <f t="shared" si="6"/>
        <v>rokprognozy=2019 i lp=37</v>
      </c>
      <c r="L40" s="16" t="str">
        <f t="shared" si="6"/>
        <v>rokprognozy=2020 i lp=37</v>
      </c>
      <c r="M40" s="16" t="str">
        <f t="shared" si="7"/>
        <v>rokprognozy=2021 i lp=37</v>
      </c>
      <c r="N40" s="16" t="str">
        <f t="shared" si="7"/>
        <v>rokprognozy=2022 i lp=37</v>
      </c>
      <c r="O40" s="16" t="str">
        <f t="shared" si="7"/>
        <v>rokprognozy=2023 i lp=37</v>
      </c>
      <c r="P40" s="16" t="str">
        <f t="shared" si="7"/>
        <v>rokprognozy=2024 i lp=37</v>
      </c>
      <c r="Q40" s="16" t="str">
        <f t="shared" si="7"/>
        <v>rokprognozy=2025 i lp=37</v>
      </c>
      <c r="R40" s="16" t="str">
        <f t="shared" si="7"/>
        <v>rokprognozy=2026 i lp=37</v>
      </c>
      <c r="S40" s="16" t="str">
        <f t="shared" si="7"/>
        <v>rokprognozy=2027 i lp=37</v>
      </c>
      <c r="T40" s="16" t="str">
        <f t="shared" si="7"/>
        <v>rokprognozy=2028 i lp=37</v>
      </c>
      <c r="U40" s="16" t="str">
        <f t="shared" si="7"/>
        <v>rokprognozy=2029 i lp=37</v>
      </c>
      <c r="V40" s="16" t="str">
        <f t="shared" si="7"/>
        <v>rokprognozy=2030 i lp=37</v>
      </c>
      <c r="W40" s="16" t="str">
        <f t="shared" si="7"/>
        <v>rokprognozy=2031 i lp=37</v>
      </c>
      <c r="X40" s="16" t="str">
        <f t="shared" si="7"/>
        <v>rokprognozy=2032 i lp=37</v>
      </c>
      <c r="Y40" s="16" t="str">
        <f t="shared" si="7"/>
        <v>rokprognozy=2033 i lp=37</v>
      </c>
      <c r="Z40" s="16" t="str">
        <f t="shared" si="7"/>
        <v>rokprognozy=2034 i lp=37</v>
      </c>
      <c r="AA40" s="16" t="str">
        <f t="shared" si="7"/>
        <v>rokprognozy=2035 i lp=37</v>
      </c>
      <c r="AB40" s="16" t="str">
        <f t="shared" si="7"/>
        <v>rokprognozy=2036 i lp=37</v>
      </c>
      <c r="AC40" s="16" t="str">
        <f t="shared" si="8"/>
        <v>rokprognozy=2037 i lp=37</v>
      </c>
      <c r="AD40" s="16" t="str">
        <f t="shared" si="8"/>
        <v>rokprognozy=2038 i lp=37</v>
      </c>
      <c r="AE40" s="16" t="str">
        <f t="shared" si="8"/>
        <v>rokprognozy=2039 i lp=37</v>
      </c>
      <c r="AF40" s="16" t="str">
        <f t="shared" si="8"/>
        <v>rokprognozy=2040 i lp=37</v>
      </c>
      <c r="AG40" s="16" t="str">
        <f t="shared" si="8"/>
        <v>rokprognozy=2041 i lp=37</v>
      </c>
      <c r="AH40" s="16" t="str">
        <f t="shared" si="8"/>
        <v>rokprognozy=2042 i lp=37</v>
      </c>
      <c r="AI40" s="16" t="str">
        <f t="shared" si="8"/>
        <v>rokprognozy=2043 i lp=37</v>
      </c>
      <c r="AJ40" s="16" t="str">
        <f t="shared" si="8"/>
        <v>rokprognozy=2044 i lp=37</v>
      </c>
      <c r="AK40" s="16" t="str">
        <f t="shared" si="8"/>
        <v>rokprognozy=2045 i lp=37</v>
      </c>
      <c r="AL40" s="16" t="str">
        <f t="shared" si="8"/>
        <v>rokprognozy=2046 i lp=37</v>
      </c>
      <c r="AM40" s="16" t="str">
        <f t="shared" si="8"/>
        <v>rokprognozy=2047 i lp=37</v>
      </c>
      <c r="AN40" s="16" t="str">
        <f t="shared" si="8"/>
        <v>rokprognozy=2048 i lp=37</v>
      </c>
      <c r="AO40" s="16" t="str">
        <f t="shared" si="8"/>
        <v>rokprognozy=2049 i lp=37</v>
      </c>
      <c r="AP40" s="16" t="str">
        <f t="shared" si="8"/>
        <v>rokprognozy=2050 i lp=37</v>
      </c>
    </row>
    <row r="41" spans="1:42">
      <c r="A41" s="6">
        <v>38</v>
      </c>
      <c r="B41" s="17">
        <v>17</v>
      </c>
      <c r="C41" s="19" t="s">
        <v>30</v>
      </c>
      <c r="D41" s="15" t="str">
        <f t="shared" si="6"/>
        <v>rokprognozy=2012 i lp=38</v>
      </c>
      <c r="E41" s="15" t="str">
        <f t="shared" si="6"/>
        <v>rokprognozy=2013 i lp=38</v>
      </c>
      <c r="F41" s="16" t="str">
        <f t="shared" si="6"/>
        <v>rokprognozy=2014 i lp=38</v>
      </c>
      <c r="G41" s="16" t="str">
        <f t="shared" si="6"/>
        <v>rokprognozy=2015 i lp=38</v>
      </c>
      <c r="H41" s="16" t="str">
        <f t="shared" si="6"/>
        <v>rokprognozy=2016 i lp=38</v>
      </c>
      <c r="I41" s="16" t="str">
        <f t="shared" si="6"/>
        <v>rokprognozy=2017 i lp=38</v>
      </c>
      <c r="J41" s="16" t="str">
        <f t="shared" si="6"/>
        <v>rokprognozy=2018 i lp=38</v>
      </c>
      <c r="K41" s="16" t="str">
        <f t="shared" si="6"/>
        <v>rokprognozy=2019 i lp=38</v>
      </c>
      <c r="L41" s="16" t="str">
        <f t="shared" si="6"/>
        <v>rokprognozy=2020 i lp=38</v>
      </c>
      <c r="M41" s="16" t="str">
        <f t="shared" si="7"/>
        <v>rokprognozy=2021 i lp=38</v>
      </c>
      <c r="N41" s="16" t="str">
        <f t="shared" si="7"/>
        <v>rokprognozy=2022 i lp=38</v>
      </c>
      <c r="O41" s="16" t="str">
        <f t="shared" si="7"/>
        <v>rokprognozy=2023 i lp=38</v>
      </c>
      <c r="P41" s="16" t="str">
        <f t="shared" si="7"/>
        <v>rokprognozy=2024 i lp=38</v>
      </c>
      <c r="Q41" s="16" t="str">
        <f t="shared" si="7"/>
        <v>rokprognozy=2025 i lp=38</v>
      </c>
      <c r="R41" s="16" t="str">
        <f t="shared" si="7"/>
        <v>rokprognozy=2026 i lp=38</v>
      </c>
      <c r="S41" s="16" t="str">
        <f t="shared" si="7"/>
        <v>rokprognozy=2027 i lp=38</v>
      </c>
      <c r="T41" s="16" t="str">
        <f t="shared" si="7"/>
        <v>rokprognozy=2028 i lp=38</v>
      </c>
      <c r="U41" s="16" t="str">
        <f t="shared" si="7"/>
        <v>rokprognozy=2029 i lp=38</v>
      </c>
      <c r="V41" s="16" t="str">
        <f t="shared" si="7"/>
        <v>rokprognozy=2030 i lp=38</v>
      </c>
      <c r="W41" s="16" t="str">
        <f t="shared" si="7"/>
        <v>rokprognozy=2031 i lp=38</v>
      </c>
      <c r="X41" s="16" t="str">
        <f t="shared" si="7"/>
        <v>rokprognozy=2032 i lp=38</v>
      </c>
      <c r="Y41" s="16" t="str">
        <f t="shared" si="7"/>
        <v>rokprognozy=2033 i lp=38</v>
      </c>
      <c r="Z41" s="16" t="str">
        <f t="shared" si="7"/>
        <v>rokprognozy=2034 i lp=38</v>
      </c>
      <c r="AA41" s="16" t="str">
        <f t="shared" si="7"/>
        <v>rokprognozy=2035 i lp=38</v>
      </c>
      <c r="AB41" s="16" t="str">
        <f t="shared" si="7"/>
        <v>rokprognozy=2036 i lp=38</v>
      </c>
      <c r="AC41" s="16" t="str">
        <f t="shared" si="8"/>
        <v>rokprognozy=2037 i lp=38</v>
      </c>
      <c r="AD41" s="16" t="str">
        <f t="shared" si="8"/>
        <v>rokprognozy=2038 i lp=38</v>
      </c>
      <c r="AE41" s="16" t="str">
        <f t="shared" si="8"/>
        <v>rokprognozy=2039 i lp=38</v>
      </c>
      <c r="AF41" s="16" t="str">
        <f t="shared" si="8"/>
        <v>rokprognozy=2040 i lp=38</v>
      </c>
      <c r="AG41" s="16" t="str">
        <f t="shared" si="8"/>
        <v>rokprognozy=2041 i lp=38</v>
      </c>
      <c r="AH41" s="16" t="str">
        <f t="shared" si="8"/>
        <v>rokprognozy=2042 i lp=38</v>
      </c>
      <c r="AI41" s="16" t="str">
        <f t="shared" si="8"/>
        <v>rokprognozy=2043 i lp=38</v>
      </c>
      <c r="AJ41" s="16" t="str">
        <f t="shared" si="8"/>
        <v>rokprognozy=2044 i lp=38</v>
      </c>
      <c r="AK41" s="16" t="str">
        <f t="shared" si="8"/>
        <v>rokprognozy=2045 i lp=38</v>
      </c>
      <c r="AL41" s="16" t="str">
        <f t="shared" si="8"/>
        <v>rokprognozy=2046 i lp=38</v>
      </c>
      <c r="AM41" s="16" t="str">
        <f t="shared" si="8"/>
        <v>rokprognozy=2047 i lp=38</v>
      </c>
      <c r="AN41" s="16" t="str">
        <f t="shared" si="8"/>
        <v>rokprognozy=2048 i lp=38</v>
      </c>
      <c r="AO41" s="16" t="str">
        <f t="shared" si="8"/>
        <v>rokprognozy=2049 i lp=38</v>
      </c>
      <c r="AP41" s="16" t="str">
        <f t="shared" si="8"/>
        <v>rokprognozy=2050 i lp=38</v>
      </c>
    </row>
    <row r="42" spans="1:42">
      <c r="A42" s="6">
        <v>39</v>
      </c>
      <c r="B42" s="17" t="s">
        <v>80</v>
      </c>
      <c r="C42" s="19" t="s">
        <v>81</v>
      </c>
      <c r="D42" s="15" t="str">
        <f t="shared" si="6"/>
        <v>rokprognozy=2012 i lp=39</v>
      </c>
      <c r="E42" s="15" t="str">
        <f t="shared" si="6"/>
        <v>rokprognozy=2013 i lp=39</v>
      </c>
      <c r="F42" s="16" t="str">
        <f t="shared" si="6"/>
        <v>rokprognozy=2014 i lp=39</v>
      </c>
      <c r="G42" s="16" t="str">
        <f t="shared" si="6"/>
        <v>rokprognozy=2015 i lp=39</v>
      </c>
      <c r="H42" s="16" t="str">
        <f t="shared" si="6"/>
        <v>rokprognozy=2016 i lp=39</v>
      </c>
      <c r="I42" s="16" t="str">
        <f t="shared" si="6"/>
        <v>rokprognozy=2017 i lp=39</v>
      </c>
      <c r="J42" s="16" t="str">
        <f t="shared" si="6"/>
        <v>rokprognozy=2018 i lp=39</v>
      </c>
      <c r="K42" s="16" t="str">
        <f t="shared" si="6"/>
        <v>rokprognozy=2019 i lp=39</v>
      </c>
      <c r="L42" s="16" t="str">
        <f t="shared" si="6"/>
        <v>rokprognozy=2020 i lp=39</v>
      </c>
      <c r="M42" s="16" t="str">
        <f t="shared" si="7"/>
        <v>rokprognozy=2021 i lp=39</v>
      </c>
      <c r="N42" s="16" t="str">
        <f t="shared" si="7"/>
        <v>rokprognozy=2022 i lp=39</v>
      </c>
      <c r="O42" s="16" t="str">
        <f t="shared" si="7"/>
        <v>rokprognozy=2023 i lp=39</v>
      </c>
      <c r="P42" s="16" t="str">
        <f t="shared" si="7"/>
        <v>rokprognozy=2024 i lp=39</v>
      </c>
      <c r="Q42" s="16" t="str">
        <f t="shared" si="7"/>
        <v>rokprognozy=2025 i lp=39</v>
      </c>
      <c r="R42" s="16" t="str">
        <f t="shared" si="7"/>
        <v>rokprognozy=2026 i lp=39</v>
      </c>
      <c r="S42" s="16" t="str">
        <f t="shared" si="7"/>
        <v>rokprognozy=2027 i lp=39</v>
      </c>
      <c r="T42" s="16" t="str">
        <f t="shared" si="7"/>
        <v>rokprognozy=2028 i lp=39</v>
      </c>
      <c r="U42" s="16" t="str">
        <f t="shared" si="7"/>
        <v>rokprognozy=2029 i lp=39</v>
      </c>
      <c r="V42" s="16" t="str">
        <f t="shared" si="7"/>
        <v>rokprognozy=2030 i lp=39</v>
      </c>
      <c r="W42" s="16" t="str">
        <f t="shared" si="7"/>
        <v>rokprognozy=2031 i lp=39</v>
      </c>
      <c r="X42" s="16" t="str">
        <f t="shared" si="7"/>
        <v>rokprognozy=2032 i lp=39</v>
      </c>
      <c r="Y42" s="16" t="str">
        <f t="shared" si="7"/>
        <v>rokprognozy=2033 i lp=39</v>
      </c>
      <c r="Z42" s="16" t="str">
        <f t="shared" si="7"/>
        <v>rokprognozy=2034 i lp=39</v>
      </c>
      <c r="AA42" s="16" t="str">
        <f t="shared" si="7"/>
        <v>rokprognozy=2035 i lp=39</v>
      </c>
      <c r="AB42" s="16" t="str">
        <f t="shared" si="7"/>
        <v>rokprognozy=2036 i lp=39</v>
      </c>
      <c r="AC42" s="16" t="str">
        <f t="shared" si="8"/>
        <v>rokprognozy=2037 i lp=39</v>
      </c>
      <c r="AD42" s="16" t="str">
        <f t="shared" si="8"/>
        <v>rokprognozy=2038 i lp=39</v>
      </c>
      <c r="AE42" s="16" t="str">
        <f t="shared" si="8"/>
        <v>rokprognozy=2039 i lp=39</v>
      </c>
      <c r="AF42" s="16" t="str">
        <f t="shared" si="8"/>
        <v>rokprognozy=2040 i lp=39</v>
      </c>
      <c r="AG42" s="16" t="str">
        <f t="shared" si="8"/>
        <v>rokprognozy=2041 i lp=39</v>
      </c>
      <c r="AH42" s="16" t="str">
        <f t="shared" si="8"/>
        <v>rokprognozy=2042 i lp=39</v>
      </c>
      <c r="AI42" s="16" t="str">
        <f t="shared" si="8"/>
        <v>rokprognozy=2043 i lp=39</v>
      </c>
      <c r="AJ42" s="16" t="str">
        <f t="shared" si="8"/>
        <v>rokprognozy=2044 i lp=39</v>
      </c>
      <c r="AK42" s="16" t="str">
        <f t="shared" si="8"/>
        <v>rokprognozy=2045 i lp=39</v>
      </c>
      <c r="AL42" s="16" t="str">
        <f t="shared" si="8"/>
        <v>rokprognozy=2046 i lp=39</v>
      </c>
      <c r="AM42" s="16" t="str">
        <f t="shared" si="8"/>
        <v>rokprognozy=2047 i lp=39</v>
      </c>
      <c r="AN42" s="16" t="str">
        <f t="shared" si="8"/>
        <v>rokprognozy=2048 i lp=39</v>
      </c>
      <c r="AO42" s="16" t="str">
        <f t="shared" si="8"/>
        <v>rokprognozy=2049 i lp=39</v>
      </c>
      <c r="AP42" s="16" t="str">
        <f t="shared" si="8"/>
        <v>rokprognozy=2050 i lp=39</v>
      </c>
    </row>
    <row r="43" spans="1:42">
      <c r="A43" s="6">
        <v>40</v>
      </c>
      <c r="B43" s="17">
        <v>18</v>
      </c>
      <c r="C43" s="19" t="s">
        <v>20</v>
      </c>
      <c r="D43" s="15" t="str">
        <f t="shared" si="6"/>
        <v>rokprognozy=2012 i lp=40</v>
      </c>
      <c r="E43" s="15" t="str">
        <f t="shared" si="6"/>
        <v>rokprognozy=2013 i lp=40</v>
      </c>
      <c r="F43" s="16" t="str">
        <f t="shared" si="6"/>
        <v>rokprognozy=2014 i lp=40</v>
      </c>
      <c r="G43" s="16" t="str">
        <f t="shared" si="6"/>
        <v>rokprognozy=2015 i lp=40</v>
      </c>
      <c r="H43" s="16" t="str">
        <f t="shared" si="6"/>
        <v>rokprognozy=2016 i lp=40</v>
      </c>
      <c r="I43" s="16" t="str">
        <f t="shared" si="6"/>
        <v>rokprognozy=2017 i lp=40</v>
      </c>
      <c r="J43" s="16" t="str">
        <f t="shared" si="6"/>
        <v>rokprognozy=2018 i lp=40</v>
      </c>
      <c r="K43" s="16" t="str">
        <f t="shared" si="6"/>
        <v>rokprognozy=2019 i lp=40</v>
      </c>
      <c r="L43" s="16" t="str">
        <f t="shared" si="6"/>
        <v>rokprognozy=2020 i lp=40</v>
      </c>
      <c r="M43" s="16" t="str">
        <f t="shared" si="7"/>
        <v>rokprognozy=2021 i lp=40</v>
      </c>
      <c r="N43" s="16" t="str">
        <f t="shared" si="7"/>
        <v>rokprognozy=2022 i lp=40</v>
      </c>
      <c r="O43" s="16" t="str">
        <f t="shared" si="7"/>
        <v>rokprognozy=2023 i lp=40</v>
      </c>
      <c r="P43" s="16" t="str">
        <f t="shared" si="7"/>
        <v>rokprognozy=2024 i lp=40</v>
      </c>
      <c r="Q43" s="16" t="str">
        <f t="shared" si="7"/>
        <v>rokprognozy=2025 i lp=40</v>
      </c>
      <c r="R43" s="16" t="str">
        <f t="shared" si="7"/>
        <v>rokprognozy=2026 i lp=40</v>
      </c>
      <c r="S43" s="16" t="str">
        <f t="shared" si="7"/>
        <v>rokprognozy=2027 i lp=40</v>
      </c>
      <c r="T43" s="16" t="str">
        <f t="shared" si="7"/>
        <v>rokprognozy=2028 i lp=40</v>
      </c>
      <c r="U43" s="16" t="str">
        <f t="shared" si="7"/>
        <v>rokprognozy=2029 i lp=40</v>
      </c>
      <c r="V43" s="16" t="str">
        <f t="shared" si="7"/>
        <v>rokprognozy=2030 i lp=40</v>
      </c>
      <c r="W43" s="16" t="str">
        <f t="shared" si="7"/>
        <v>rokprognozy=2031 i lp=40</v>
      </c>
      <c r="X43" s="16" t="str">
        <f t="shared" si="7"/>
        <v>rokprognozy=2032 i lp=40</v>
      </c>
      <c r="Y43" s="16" t="str">
        <f t="shared" si="7"/>
        <v>rokprognozy=2033 i lp=40</v>
      </c>
      <c r="Z43" s="16" t="str">
        <f t="shared" si="7"/>
        <v>rokprognozy=2034 i lp=40</v>
      </c>
      <c r="AA43" s="16" t="str">
        <f t="shared" si="7"/>
        <v>rokprognozy=2035 i lp=40</v>
      </c>
      <c r="AB43" s="16" t="str">
        <f t="shared" si="7"/>
        <v>rokprognozy=2036 i lp=40</v>
      </c>
      <c r="AC43" s="16" t="str">
        <f t="shared" si="8"/>
        <v>rokprognozy=2037 i lp=40</v>
      </c>
      <c r="AD43" s="16" t="str">
        <f t="shared" si="8"/>
        <v>rokprognozy=2038 i lp=40</v>
      </c>
      <c r="AE43" s="16" t="str">
        <f t="shared" si="8"/>
        <v>rokprognozy=2039 i lp=40</v>
      </c>
      <c r="AF43" s="16" t="str">
        <f t="shared" si="8"/>
        <v>rokprognozy=2040 i lp=40</v>
      </c>
      <c r="AG43" s="16" t="str">
        <f t="shared" si="8"/>
        <v>rokprognozy=2041 i lp=40</v>
      </c>
      <c r="AH43" s="16" t="str">
        <f t="shared" si="8"/>
        <v>rokprognozy=2042 i lp=40</v>
      </c>
      <c r="AI43" s="16" t="str">
        <f t="shared" si="8"/>
        <v>rokprognozy=2043 i lp=40</v>
      </c>
      <c r="AJ43" s="16" t="str">
        <f t="shared" si="8"/>
        <v>rokprognozy=2044 i lp=40</v>
      </c>
      <c r="AK43" s="16" t="str">
        <f t="shared" si="8"/>
        <v>rokprognozy=2045 i lp=40</v>
      </c>
      <c r="AL43" s="16" t="str">
        <f t="shared" si="8"/>
        <v>rokprognozy=2046 i lp=40</v>
      </c>
      <c r="AM43" s="16" t="str">
        <f t="shared" si="8"/>
        <v>rokprognozy=2047 i lp=40</v>
      </c>
      <c r="AN43" s="16" t="str">
        <f t="shared" si="8"/>
        <v>rokprognozy=2048 i lp=40</v>
      </c>
      <c r="AO43" s="16" t="str">
        <f t="shared" si="8"/>
        <v>rokprognozy=2049 i lp=40</v>
      </c>
      <c r="AP43" s="16" t="str">
        <f t="shared" si="8"/>
        <v>rokprognozy=2050 i lp=40</v>
      </c>
    </row>
    <row r="44" spans="1:42" ht="24">
      <c r="A44" s="6">
        <v>41</v>
      </c>
      <c r="B44" s="17" t="s">
        <v>82</v>
      </c>
      <c r="C44" s="19" t="s">
        <v>21</v>
      </c>
      <c r="D44" s="15" t="str">
        <f t="shared" si="6"/>
        <v>rokprognozy=2012 i lp=41</v>
      </c>
      <c r="E44" s="15" t="str">
        <f t="shared" si="6"/>
        <v>rokprognozy=2013 i lp=41</v>
      </c>
      <c r="F44" s="16" t="str">
        <f t="shared" si="6"/>
        <v>rokprognozy=2014 i lp=41</v>
      </c>
      <c r="G44" s="16" t="str">
        <f t="shared" si="6"/>
        <v>rokprognozy=2015 i lp=41</v>
      </c>
      <c r="H44" s="16" t="str">
        <f t="shared" si="6"/>
        <v>rokprognozy=2016 i lp=41</v>
      </c>
      <c r="I44" s="16" t="str">
        <f t="shared" si="6"/>
        <v>rokprognozy=2017 i lp=41</v>
      </c>
      <c r="J44" s="16" t="str">
        <f t="shared" si="6"/>
        <v>rokprognozy=2018 i lp=41</v>
      </c>
      <c r="K44" s="16" t="str">
        <f t="shared" si="6"/>
        <v>rokprognozy=2019 i lp=41</v>
      </c>
      <c r="L44" s="16" t="str">
        <f t="shared" si="6"/>
        <v>rokprognozy=2020 i lp=41</v>
      </c>
      <c r="M44" s="16" t="str">
        <f t="shared" si="7"/>
        <v>rokprognozy=2021 i lp=41</v>
      </c>
      <c r="N44" s="16" t="str">
        <f t="shared" si="7"/>
        <v>rokprognozy=2022 i lp=41</v>
      </c>
      <c r="O44" s="16" t="str">
        <f t="shared" si="7"/>
        <v>rokprognozy=2023 i lp=41</v>
      </c>
      <c r="P44" s="16" t="str">
        <f t="shared" si="7"/>
        <v>rokprognozy=2024 i lp=41</v>
      </c>
      <c r="Q44" s="16" t="str">
        <f t="shared" si="7"/>
        <v>rokprognozy=2025 i lp=41</v>
      </c>
      <c r="R44" s="16" t="str">
        <f t="shared" si="7"/>
        <v>rokprognozy=2026 i lp=41</v>
      </c>
      <c r="S44" s="16" t="str">
        <f t="shared" si="7"/>
        <v>rokprognozy=2027 i lp=41</v>
      </c>
      <c r="T44" s="16" t="str">
        <f t="shared" si="7"/>
        <v>rokprognozy=2028 i lp=41</v>
      </c>
      <c r="U44" s="16" t="str">
        <f t="shared" si="7"/>
        <v>rokprognozy=2029 i lp=41</v>
      </c>
      <c r="V44" s="16" t="str">
        <f t="shared" si="7"/>
        <v>rokprognozy=2030 i lp=41</v>
      </c>
      <c r="W44" s="16" t="str">
        <f t="shared" si="7"/>
        <v>rokprognozy=2031 i lp=41</v>
      </c>
      <c r="X44" s="16" t="str">
        <f t="shared" si="7"/>
        <v>rokprognozy=2032 i lp=41</v>
      </c>
      <c r="Y44" s="16" t="str">
        <f t="shared" si="7"/>
        <v>rokprognozy=2033 i lp=41</v>
      </c>
      <c r="Z44" s="16" t="str">
        <f t="shared" si="7"/>
        <v>rokprognozy=2034 i lp=41</v>
      </c>
      <c r="AA44" s="16" t="str">
        <f t="shared" si="7"/>
        <v>rokprognozy=2035 i lp=41</v>
      </c>
      <c r="AB44" s="16" t="str">
        <f t="shared" si="7"/>
        <v>rokprognozy=2036 i lp=41</v>
      </c>
      <c r="AC44" s="16" t="str">
        <f t="shared" si="8"/>
        <v>rokprognozy=2037 i lp=41</v>
      </c>
      <c r="AD44" s="16" t="str">
        <f t="shared" si="8"/>
        <v>rokprognozy=2038 i lp=41</v>
      </c>
      <c r="AE44" s="16" t="str">
        <f t="shared" si="8"/>
        <v>rokprognozy=2039 i lp=41</v>
      </c>
      <c r="AF44" s="16" t="str">
        <f t="shared" si="8"/>
        <v>rokprognozy=2040 i lp=41</v>
      </c>
      <c r="AG44" s="16" t="str">
        <f t="shared" si="8"/>
        <v>rokprognozy=2041 i lp=41</v>
      </c>
      <c r="AH44" s="16" t="str">
        <f t="shared" si="8"/>
        <v>rokprognozy=2042 i lp=41</v>
      </c>
      <c r="AI44" s="16" t="str">
        <f t="shared" si="8"/>
        <v>rokprognozy=2043 i lp=41</v>
      </c>
      <c r="AJ44" s="16" t="str">
        <f t="shared" si="8"/>
        <v>rokprognozy=2044 i lp=41</v>
      </c>
      <c r="AK44" s="16" t="str">
        <f t="shared" si="8"/>
        <v>rokprognozy=2045 i lp=41</v>
      </c>
      <c r="AL44" s="16" t="str">
        <f t="shared" si="8"/>
        <v>rokprognozy=2046 i lp=41</v>
      </c>
      <c r="AM44" s="16" t="str">
        <f t="shared" si="8"/>
        <v>rokprognozy=2047 i lp=41</v>
      </c>
      <c r="AN44" s="16" t="str">
        <f t="shared" si="8"/>
        <v>rokprognozy=2048 i lp=41</v>
      </c>
      <c r="AO44" s="16" t="str">
        <f t="shared" si="8"/>
        <v>rokprognozy=2049 i lp=41</v>
      </c>
      <c r="AP44" s="16" t="str">
        <f t="shared" si="8"/>
        <v>rokprognozy=2050 i lp=41</v>
      </c>
    </row>
    <row r="45" spans="1:42" ht="24">
      <c r="A45" s="6">
        <v>42</v>
      </c>
      <c r="B45" s="17">
        <v>19</v>
      </c>
      <c r="C45" s="19" t="s">
        <v>22</v>
      </c>
      <c r="D45" s="15" t="str">
        <f t="shared" si="6"/>
        <v>rokprognozy=2012 i lp=42</v>
      </c>
      <c r="E45" s="15" t="str">
        <f t="shared" si="6"/>
        <v>rokprognozy=2013 i lp=42</v>
      </c>
      <c r="F45" s="16" t="str">
        <f t="shared" si="6"/>
        <v>rokprognozy=2014 i lp=42</v>
      </c>
      <c r="G45" s="16" t="str">
        <f t="shared" si="6"/>
        <v>rokprognozy=2015 i lp=42</v>
      </c>
      <c r="H45" s="16" t="str">
        <f t="shared" si="6"/>
        <v>rokprognozy=2016 i lp=42</v>
      </c>
      <c r="I45" s="16" t="str">
        <f t="shared" si="6"/>
        <v>rokprognozy=2017 i lp=42</v>
      </c>
      <c r="J45" s="16" t="str">
        <f t="shared" si="6"/>
        <v>rokprognozy=2018 i lp=42</v>
      </c>
      <c r="K45" s="16" t="str">
        <f t="shared" si="6"/>
        <v>rokprognozy=2019 i lp=42</v>
      </c>
      <c r="L45" s="16" t="str">
        <f t="shared" si="6"/>
        <v>rokprognozy=2020 i lp=42</v>
      </c>
      <c r="M45" s="16" t="str">
        <f t="shared" si="7"/>
        <v>rokprognozy=2021 i lp=42</v>
      </c>
      <c r="N45" s="16" t="str">
        <f t="shared" si="7"/>
        <v>rokprognozy=2022 i lp=42</v>
      </c>
      <c r="O45" s="16" t="str">
        <f t="shared" si="7"/>
        <v>rokprognozy=2023 i lp=42</v>
      </c>
      <c r="P45" s="16" t="str">
        <f t="shared" si="7"/>
        <v>rokprognozy=2024 i lp=42</v>
      </c>
      <c r="Q45" s="16" t="str">
        <f t="shared" si="7"/>
        <v>rokprognozy=2025 i lp=42</v>
      </c>
      <c r="R45" s="16" t="str">
        <f t="shared" si="7"/>
        <v>rokprognozy=2026 i lp=42</v>
      </c>
      <c r="S45" s="16" t="str">
        <f t="shared" si="7"/>
        <v>rokprognozy=2027 i lp=42</v>
      </c>
      <c r="T45" s="16" t="str">
        <f t="shared" si="7"/>
        <v>rokprognozy=2028 i lp=42</v>
      </c>
      <c r="U45" s="16" t="str">
        <f t="shared" si="7"/>
        <v>rokprognozy=2029 i lp=42</v>
      </c>
      <c r="V45" s="16" t="str">
        <f t="shared" si="7"/>
        <v>rokprognozy=2030 i lp=42</v>
      </c>
      <c r="W45" s="16" t="str">
        <f t="shared" si="7"/>
        <v>rokprognozy=2031 i lp=42</v>
      </c>
      <c r="X45" s="16" t="str">
        <f t="shared" si="7"/>
        <v>rokprognozy=2032 i lp=42</v>
      </c>
      <c r="Y45" s="16" t="str">
        <f t="shared" si="7"/>
        <v>rokprognozy=2033 i lp=42</v>
      </c>
      <c r="Z45" s="16" t="str">
        <f t="shared" si="7"/>
        <v>rokprognozy=2034 i lp=42</v>
      </c>
      <c r="AA45" s="16" t="str">
        <f t="shared" si="7"/>
        <v>rokprognozy=2035 i lp=42</v>
      </c>
      <c r="AB45" s="16" t="str">
        <f t="shared" si="7"/>
        <v>rokprognozy=2036 i lp=42</v>
      </c>
      <c r="AC45" s="16" t="str">
        <f t="shared" si="8"/>
        <v>rokprognozy=2037 i lp=42</v>
      </c>
      <c r="AD45" s="16" t="str">
        <f t="shared" si="8"/>
        <v>rokprognozy=2038 i lp=42</v>
      </c>
      <c r="AE45" s="16" t="str">
        <f t="shared" si="8"/>
        <v>rokprognozy=2039 i lp=42</v>
      </c>
      <c r="AF45" s="16" t="str">
        <f t="shared" si="8"/>
        <v>rokprognozy=2040 i lp=42</v>
      </c>
      <c r="AG45" s="16" t="str">
        <f t="shared" si="8"/>
        <v>rokprognozy=2041 i lp=42</v>
      </c>
      <c r="AH45" s="16" t="str">
        <f t="shared" si="8"/>
        <v>rokprognozy=2042 i lp=42</v>
      </c>
      <c r="AI45" s="16" t="str">
        <f t="shared" si="8"/>
        <v>rokprognozy=2043 i lp=42</v>
      </c>
      <c r="AJ45" s="16" t="str">
        <f t="shared" si="8"/>
        <v>rokprognozy=2044 i lp=42</v>
      </c>
      <c r="AK45" s="16" t="str">
        <f t="shared" si="8"/>
        <v>rokprognozy=2045 i lp=42</v>
      </c>
      <c r="AL45" s="16" t="str">
        <f t="shared" si="8"/>
        <v>rokprognozy=2046 i lp=42</v>
      </c>
      <c r="AM45" s="16" t="str">
        <f t="shared" si="8"/>
        <v>rokprognozy=2047 i lp=42</v>
      </c>
      <c r="AN45" s="16" t="str">
        <f t="shared" si="8"/>
        <v>rokprognozy=2048 i lp=42</v>
      </c>
      <c r="AO45" s="16" t="str">
        <f t="shared" si="8"/>
        <v>rokprognozy=2049 i lp=42</v>
      </c>
      <c r="AP45" s="16" t="str">
        <f t="shared" si="8"/>
        <v>rokprognozy=2050 i lp=42</v>
      </c>
    </row>
    <row r="46" spans="1:42" ht="24">
      <c r="A46" s="6">
        <v>43</v>
      </c>
      <c r="B46" s="17" t="s">
        <v>83</v>
      </c>
      <c r="C46" s="19" t="s">
        <v>23</v>
      </c>
      <c r="D46" s="15" t="str">
        <f t="shared" ref="D46:L60" si="9">+"rokprognozy="&amp;D$3&amp;" i lp="&amp;$A46</f>
        <v>rokprognozy=2012 i lp=43</v>
      </c>
      <c r="E46" s="15" t="str">
        <f t="shared" si="9"/>
        <v>rokprognozy=2013 i lp=43</v>
      </c>
      <c r="F46" s="16" t="str">
        <f t="shared" si="9"/>
        <v>rokprognozy=2014 i lp=43</v>
      </c>
      <c r="G46" s="16" t="str">
        <f t="shared" si="9"/>
        <v>rokprognozy=2015 i lp=43</v>
      </c>
      <c r="H46" s="16" t="str">
        <f t="shared" si="9"/>
        <v>rokprognozy=2016 i lp=43</v>
      </c>
      <c r="I46" s="16" t="str">
        <f t="shared" si="9"/>
        <v>rokprognozy=2017 i lp=43</v>
      </c>
      <c r="J46" s="16" t="str">
        <f t="shared" si="9"/>
        <v>rokprognozy=2018 i lp=43</v>
      </c>
      <c r="K46" s="16" t="str">
        <f t="shared" si="9"/>
        <v>rokprognozy=2019 i lp=43</v>
      </c>
      <c r="L46" s="16" t="str">
        <f t="shared" si="9"/>
        <v>rokprognozy=2020 i lp=43</v>
      </c>
      <c r="M46" s="16" t="str">
        <f t="shared" si="7"/>
        <v>rokprognozy=2021 i lp=43</v>
      </c>
      <c r="N46" s="16" t="str">
        <f t="shared" si="7"/>
        <v>rokprognozy=2022 i lp=43</v>
      </c>
      <c r="O46" s="16" t="str">
        <f t="shared" si="7"/>
        <v>rokprognozy=2023 i lp=43</v>
      </c>
      <c r="P46" s="16" t="str">
        <f t="shared" si="7"/>
        <v>rokprognozy=2024 i lp=43</v>
      </c>
      <c r="Q46" s="16" t="str">
        <f t="shared" si="7"/>
        <v>rokprognozy=2025 i lp=43</v>
      </c>
      <c r="R46" s="16" t="str">
        <f t="shared" si="7"/>
        <v>rokprognozy=2026 i lp=43</v>
      </c>
      <c r="S46" s="16" t="str">
        <f t="shared" si="7"/>
        <v>rokprognozy=2027 i lp=43</v>
      </c>
      <c r="T46" s="16" t="str">
        <f t="shared" si="7"/>
        <v>rokprognozy=2028 i lp=43</v>
      </c>
      <c r="U46" s="16" t="str">
        <f t="shared" si="7"/>
        <v>rokprognozy=2029 i lp=43</v>
      </c>
      <c r="V46" s="16" t="str">
        <f t="shared" si="7"/>
        <v>rokprognozy=2030 i lp=43</v>
      </c>
      <c r="W46" s="16" t="str">
        <f t="shared" si="7"/>
        <v>rokprognozy=2031 i lp=43</v>
      </c>
      <c r="X46" s="16" t="str">
        <f t="shared" si="7"/>
        <v>rokprognozy=2032 i lp=43</v>
      </c>
      <c r="Y46" s="16" t="str">
        <f t="shared" si="7"/>
        <v>rokprognozy=2033 i lp=43</v>
      </c>
      <c r="Z46" s="16" t="str">
        <f t="shared" si="7"/>
        <v>rokprognozy=2034 i lp=43</v>
      </c>
      <c r="AA46" s="16" t="str">
        <f t="shared" si="7"/>
        <v>rokprognozy=2035 i lp=43</v>
      </c>
      <c r="AB46" s="16" t="str">
        <f t="shared" si="7"/>
        <v>rokprognozy=2036 i lp=43</v>
      </c>
      <c r="AC46" s="16" t="str">
        <f t="shared" si="8"/>
        <v>rokprognozy=2037 i lp=43</v>
      </c>
      <c r="AD46" s="16" t="str">
        <f t="shared" si="8"/>
        <v>rokprognozy=2038 i lp=43</v>
      </c>
      <c r="AE46" s="16" t="str">
        <f t="shared" si="8"/>
        <v>rokprognozy=2039 i lp=43</v>
      </c>
      <c r="AF46" s="16" t="str">
        <f t="shared" si="8"/>
        <v>rokprognozy=2040 i lp=43</v>
      </c>
      <c r="AG46" s="16" t="str">
        <f t="shared" si="8"/>
        <v>rokprognozy=2041 i lp=43</v>
      </c>
      <c r="AH46" s="16" t="str">
        <f t="shared" si="8"/>
        <v>rokprognozy=2042 i lp=43</v>
      </c>
      <c r="AI46" s="16" t="str">
        <f t="shared" si="8"/>
        <v>rokprognozy=2043 i lp=43</v>
      </c>
      <c r="AJ46" s="16" t="str">
        <f t="shared" si="8"/>
        <v>rokprognozy=2044 i lp=43</v>
      </c>
      <c r="AK46" s="16" t="str">
        <f t="shared" si="8"/>
        <v>rokprognozy=2045 i lp=43</v>
      </c>
      <c r="AL46" s="16" t="str">
        <f t="shared" si="8"/>
        <v>rokprognozy=2046 i lp=43</v>
      </c>
      <c r="AM46" s="16" t="str">
        <f t="shared" si="8"/>
        <v>rokprognozy=2047 i lp=43</v>
      </c>
      <c r="AN46" s="16" t="str">
        <f t="shared" si="8"/>
        <v>rokprognozy=2048 i lp=43</v>
      </c>
      <c r="AO46" s="16" t="str">
        <f t="shared" si="8"/>
        <v>rokprognozy=2049 i lp=43</v>
      </c>
      <c r="AP46" s="16" t="str">
        <f t="shared" si="8"/>
        <v>rokprognozy=2050 i lp=43</v>
      </c>
    </row>
    <row r="47" spans="1:42">
      <c r="A47" s="6">
        <v>44</v>
      </c>
      <c r="B47" s="17">
        <v>20</v>
      </c>
      <c r="C47" s="19" t="s">
        <v>84</v>
      </c>
      <c r="D47" s="15" t="str">
        <f t="shared" si="9"/>
        <v>rokprognozy=2012 i lp=44</v>
      </c>
      <c r="E47" s="15" t="str">
        <f t="shared" si="9"/>
        <v>rokprognozy=2013 i lp=44</v>
      </c>
      <c r="F47" s="16" t="str">
        <f t="shared" si="9"/>
        <v>rokprognozy=2014 i lp=44</v>
      </c>
      <c r="G47" s="16" t="str">
        <f t="shared" si="9"/>
        <v>rokprognozy=2015 i lp=44</v>
      </c>
      <c r="H47" s="16" t="str">
        <f t="shared" si="9"/>
        <v>rokprognozy=2016 i lp=44</v>
      </c>
      <c r="I47" s="16" t="str">
        <f t="shared" si="9"/>
        <v>rokprognozy=2017 i lp=44</v>
      </c>
      <c r="J47" s="16" t="str">
        <f t="shared" si="9"/>
        <v>rokprognozy=2018 i lp=44</v>
      </c>
      <c r="K47" s="16" t="str">
        <f t="shared" si="9"/>
        <v>rokprognozy=2019 i lp=44</v>
      </c>
      <c r="L47" s="16" t="str">
        <f t="shared" si="9"/>
        <v>rokprognozy=2020 i lp=44</v>
      </c>
      <c r="M47" s="16" t="str">
        <f t="shared" si="7"/>
        <v>rokprognozy=2021 i lp=44</v>
      </c>
      <c r="N47" s="16" t="str">
        <f t="shared" si="7"/>
        <v>rokprognozy=2022 i lp=44</v>
      </c>
      <c r="O47" s="16" t="str">
        <f t="shared" si="7"/>
        <v>rokprognozy=2023 i lp=44</v>
      </c>
      <c r="P47" s="16" t="str">
        <f t="shared" si="7"/>
        <v>rokprognozy=2024 i lp=44</v>
      </c>
      <c r="Q47" s="16" t="str">
        <f t="shared" si="7"/>
        <v>rokprognozy=2025 i lp=44</v>
      </c>
      <c r="R47" s="16" t="str">
        <f t="shared" si="7"/>
        <v>rokprognozy=2026 i lp=44</v>
      </c>
      <c r="S47" s="16" t="str">
        <f t="shared" si="7"/>
        <v>rokprognozy=2027 i lp=44</v>
      </c>
      <c r="T47" s="16" t="str">
        <f t="shared" si="7"/>
        <v>rokprognozy=2028 i lp=44</v>
      </c>
      <c r="U47" s="16" t="str">
        <f t="shared" si="7"/>
        <v>rokprognozy=2029 i lp=44</v>
      </c>
      <c r="V47" s="16" t="str">
        <f t="shared" si="7"/>
        <v>rokprognozy=2030 i lp=44</v>
      </c>
      <c r="W47" s="16" t="str">
        <f t="shared" si="7"/>
        <v>rokprognozy=2031 i lp=44</v>
      </c>
      <c r="X47" s="16" t="str">
        <f t="shared" si="7"/>
        <v>rokprognozy=2032 i lp=44</v>
      </c>
      <c r="Y47" s="16" t="str">
        <f t="shared" si="7"/>
        <v>rokprognozy=2033 i lp=44</v>
      </c>
      <c r="Z47" s="16" t="str">
        <f t="shared" si="7"/>
        <v>rokprognozy=2034 i lp=44</v>
      </c>
      <c r="AA47" s="16" t="str">
        <f t="shared" si="7"/>
        <v>rokprognozy=2035 i lp=44</v>
      </c>
      <c r="AB47" s="16" t="str">
        <f t="shared" si="7"/>
        <v>rokprognozy=2036 i lp=44</v>
      </c>
      <c r="AC47" s="16" t="str">
        <f t="shared" si="8"/>
        <v>rokprognozy=2037 i lp=44</v>
      </c>
      <c r="AD47" s="16" t="str">
        <f t="shared" si="8"/>
        <v>rokprognozy=2038 i lp=44</v>
      </c>
      <c r="AE47" s="16" t="str">
        <f t="shared" si="8"/>
        <v>rokprognozy=2039 i lp=44</v>
      </c>
      <c r="AF47" s="16" t="str">
        <f t="shared" si="8"/>
        <v>rokprognozy=2040 i lp=44</v>
      </c>
      <c r="AG47" s="16" t="str">
        <f t="shared" si="8"/>
        <v>rokprognozy=2041 i lp=44</v>
      </c>
      <c r="AH47" s="16" t="str">
        <f t="shared" si="8"/>
        <v>rokprognozy=2042 i lp=44</v>
      </c>
      <c r="AI47" s="16" t="str">
        <f t="shared" si="8"/>
        <v>rokprognozy=2043 i lp=44</v>
      </c>
      <c r="AJ47" s="16" t="str">
        <f t="shared" si="8"/>
        <v>rokprognozy=2044 i lp=44</v>
      </c>
      <c r="AK47" s="16" t="str">
        <f t="shared" si="8"/>
        <v>rokprognozy=2045 i lp=44</v>
      </c>
      <c r="AL47" s="16" t="str">
        <f t="shared" si="8"/>
        <v>rokprognozy=2046 i lp=44</v>
      </c>
      <c r="AM47" s="16" t="str">
        <f t="shared" si="8"/>
        <v>rokprognozy=2047 i lp=44</v>
      </c>
      <c r="AN47" s="16" t="str">
        <f t="shared" si="8"/>
        <v>rokprognozy=2048 i lp=44</v>
      </c>
      <c r="AO47" s="16" t="str">
        <f t="shared" si="8"/>
        <v>rokprognozy=2049 i lp=44</v>
      </c>
      <c r="AP47" s="16" t="str">
        <f t="shared" si="8"/>
        <v>rokprognozy=2050 i lp=44</v>
      </c>
    </row>
    <row r="48" spans="1:42">
      <c r="A48" s="6">
        <v>45</v>
      </c>
      <c r="B48" s="17" t="s">
        <v>85</v>
      </c>
      <c r="C48" s="19" t="s">
        <v>12</v>
      </c>
      <c r="D48" s="15" t="str">
        <f t="shared" si="9"/>
        <v>rokprognozy=2012 i lp=45</v>
      </c>
      <c r="E48" s="15" t="str">
        <f t="shared" si="9"/>
        <v>rokprognozy=2013 i lp=45</v>
      </c>
      <c r="F48" s="16" t="str">
        <f t="shared" si="9"/>
        <v>rokprognozy=2014 i lp=45</v>
      </c>
      <c r="G48" s="16" t="str">
        <f t="shared" si="9"/>
        <v>rokprognozy=2015 i lp=45</v>
      </c>
      <c r="H48" s="16" t="str">
        <f t="shared" si="9"/>
        <v>rokprognozy=2016 i lp=45</v>
      </c>
      <c r="I48" s="16" t="str">
        <f t="shared" si="9"/>
        <v>rokprognozy=2017 i lp=45</v>
      </c>
      <c r="J48" s="16" t="str">
        <f t="shared" si="9"/>
        <v>rokprognozy=2018 i lp=45</v>
      </c>
      <c r="K48" s="16" t="str">
        <f t="shared" si="9"/>
        <v>rokprognozy=2019 i lp=45</v>
      </c>
      <c r="L48" s="16" t="str">
        <f t="shared" si="9"/>
        <v>rokprognozy=2020 i lp=45</v>
      </c>
      <c r="M48" s="16" t="str">
        <f t="shared" si="7"/>
        <v>rokprognozy=2021 i lp=45</v>
      </c>
      <c r="N48" s="16" t="str">
        <f t="shared" si="7"/>
        <v>rokprognozy=2022 i lp=45</v>
      </c>
      <c r="O48" s="16" t="str">
        <f t="shared" si="7"/>
        <v>rokprognozy=2023 i lp=45</v>
      </c>
      <c r="P48" s="16" t="str">
        <f t="shared" si="7"/>
        <v>rokprognozy=2024 i lp=45</v>
      </c>
      <c r="Q48" s="16" t="str">
        <f t="shared" si="7"/>
        <v>rokprognozy=2025 i lp=45</v>
      </c>
      <c r="R48" s="16" t="str">
        <f t="shared" si="7"/>
        <v>rokprognozy=2026 i lp=45</v>
      </c>
      <c r="S48" s="16" t="str">
        <f t="shared" si="7"/>
        <v>rokprognozy=2027 i lp=45</v>
      </c>
      <c r="T48" s="16" t="str">
        <f t="shared" si="7"/>
        <v>rokprognozy=2028 i lp=45</v>
      </c>
      <c r="U48" s="16" t="str">
        <f t="shared" si="7"/>
        <v>rokprognozy=2029 i lp=45</v>
      </c>
      <c r="V48" s="16" t="str">
        <f t="shared" si="7"/>
        <v>rokprognozy=2030 i lp=45</v>
      </c>
      <c r="W48" s="16" t="str">
        <f t="shared" si="7"/>
        <v>rokprognozy=2031 i lp=45</v>
      </c>
      <c r="X48" s="16" t="str">
        <f t="shared" si="7"/>
        <v>rokprognozy=2032 i lp=45</v>
      </c>
      <c r="Y48" s="16" t="str">
        <f t="shared" si="7"/>
        <v>rokprognozy=2033 i lp=45</v>
      </c>
      <c r="Z48" s="16" t="str">
        <f t="shared" si="7"/>
        <v>rokprognozy=2034 i lp=45</v>
      </c>
      <c r="AA48" s="16" t="str">
        <f t="shared" si="7"/>
        <v>rokprognozy=2035 i lp=45</v>
      </c>
      <c r="AB48" s="16" t="str">
        <f t="shared" si="7"/>
        <v>rokprognozy=2036 i lp=45</v>
      </c>
      <c r="AC48" s="16" t="str">
        <f t="shared" si="8"/>
        <v>rokprognozy=2037 i lp=45</v>
      </c>
      <c r="AD48" s="16" t="str">
        <f t="shared" si="8"/>
        <v>rokprognozy=2038 i lp=45</v>
      </c>
      <c r="AE48" s="16" t="str">
        <f t="shared" si="8"/>
        <v>rokprognozy=2039 i lp=45</v>
      </c>
      <c r="AF48" s="16" t="str">
        <f t="shared" si="8"/>
        <v>rokprognozy=2040 i lp=45</v>
      </c>
      <c r="AG48" s="16" t="str">
        <f t="shared" si="8"/>
        <v>rokprognozy=2041 i lp=45</v>
      </c>
      <c r="AH48" s="16" t="str">
        <f t="shared" si="8"/>
        <v>rokprognozy=2042 i lp=45</v>
      </c>
      <c r="AI48" s="16" t="str">
        <f t="shared" si="8"/>
        <v>rokprognozy=2043 i lp=45</v>
      </c>
      <c r="AJ48" s="16" t="str">
        <f t="shared" si="8"/>
        <v>rokprognozy=2044 i lp=45</v>
      </c>
      <c r="AK48" s="16" t="str">
        <f t="shared" si="8"/>
        <v>rokprognozy=2045 i lp=45</v>
      </c>
      <c r="AL48" s="16" t="str">
        <f t="shared" si="8"/>
        <v>rokprognozy=2046 i lp=45</v>
      </c>
      <c r="AM48" s="16" t="str">
        <f t="shared" si="8"/>
        <v>rokprognozy=2047 i lp=45</v>
      </c>
      <c r="AN48" s="16" t="str">
        <f t="shared" si="8"/>
        <v>rokprognozy=2048 i lp=45</v>
      </c>
      <c r="AO48" s="16" t="str">
        <f t="shared" si="8"/>
        <v>rokprognozy=2049 i lp=45</v>
      </c>
      <c r="AP48" s="16" t="str">
        <f t="shared" si="8"/>
        <v>rokprognozy=2050 i lp=45</v>
      </c>
    </row>
    <row r="49" spans="1:42" ht="24">
      <c r="A49" s="6">
        <v>46</v>
      </c>
      <c r="B49" s="17">
        <v>21</v>
      </c>
      <c r="C49" s="19" t="s">
        <v>13</v>
      </c>
      <c r="D49" s="15" t="str">
        <f t="shared" si="9"/>
        <v>rokprognozy=2012 i lp=46</v>
      </c>
      <c r="E49" s="15" t="str">
        <f t="shared" si="9"/>
        <v>rokprognozy=2013 i lp=46</v>
      </c>
      <c r="F49" s="16" t="str">
        <f t="shared" si="9"/>
        <v>rokprognozy=2014 i lp=46</v>
      </c>
      <c r="G49" s="16" t="str">
        <f t="shared" si="9"/>
        <v>rokprognozy=2015 i lp=46</v>
      </c>
      <c r="H49" s="16" t="str">
        <f t="shared" si="9"/>
        <v>rokprognozy=2016 i lp=46</v>
      </c>
      <c r="I49" s="16" t="str">
        <f t="shared" si="9"/>
        <v>rokprognozy=2017 i lp=46</v>
      </c>
      <c r="J49" s="16" t="str">
        <f t="shared" si="9"/>
        <v>rokprognozy=2018 i lp=46</v>
      </c>
      <c r="K49" s="16" t="str">
        <f t="shared" si="9"/>
        <v>rokprognozy=2019 i lp=46</v>
      </c>
      <c r="L49" s="16" t="str">
        <f t="shared" si="9"/>
        <v>rokprognozy=2020 i lp=46</v>
      </c>
      <c r="M49" s="16" t="str">
        <f t="shared" si="7"/>
        <v>rokprognozy=2021 i lp=46</v>
      </c>
      <c r="N49" s="16" t="str">
        <f t="shared" si="7"/>
        <v>rokprognozy=2022 i lp=46</v>
      </c>
      <c r="O49" s="16" t="str">
        <f t="shared" si="7"/>
        <v>rokprognozy=2023 i lp=46</v>
      </c>
      <c r="P49" s="16" t="str">
        <f t="shared" si="7"/>
        <v>rokprognozy=2024 i lp=46</v>
      </c>
      <c r="Q49" s="16" t="str">
        <f t="shared" si="7"/>
        <v>rokprognozy=2025 i lp=46</v>
      </c>
      <c r="R49" s="16" t="str">
        <f t="shared" si="7"/>
        <v>rokprognozy=2026 i lp=46</v>
      </c>
      <c r="S49" s="16" t="str">
        <f t="shared" ref="M49:AB60" si="10">+"rokprognozy="&amp;S$3&amp;" i lp="&amp;$A49</f>
        <v>rokprognozy=2027 i lp=46</v>
      </c>
      <c r="T49" s="16" t="str">
        <f t="shared" si="10"/>
        <v>rokprognozy=2028 i lp=46</v>
      </c>
      <c r="U49" s="16" t="str">
        <f t="shared" si="10"/>
        <v>rokprognozy=2029 i lp=46</v>
      </c>
      <c r="V49" s="16" t="str">
        <f t="shared" si="10"/>
        <v>rokprognozy=2030 i lp=46</v>
      </c>
      <c r="W49" s="16" t="str">
        <f t="shared" si="10"/>
        <v>rokprognozy=2031 i lp=46</v>
      </c>
      <c r="X49" s="16" t="str">
        <f t="shared" si="10"/>
        <v>rokprognozy=2032 i lp=46</v>
      </c>
      <c r="Y49" s="16" t="str">
        <f t="shared" si="10"/>
        <v>rokprognozy=2033 i lp=46</v>
      </c>
      <c r="Z49" s="16" t="str">
        <f t="shared" si="10"/>
        <v>rokprognozy=2034 i lp=46</v>
      </c>
      <c r="AA49" s="16" t="str">
        <f t="shared" si="10"/>
        <v>rokprognozy=2035 i lp=46</v>
      </c>
      <c r="AB49" s="16" t="str">
        <f t="shared" si="10"/>
        <v>rokprognozy=2036 i lp=46</v>
      </c>
      <c r="AC49" s="16" t="str">
        <f t="shared" si="8"/>
        <v>rokprognozy=2037 i lp=46</v>
      </c>
      <c r="AD49" s="16" t="str">
        <f t="shared" si="8"/>
        <v>rokprognozy=2038 i lp=46</v>
      </c>
      <c r="AE49" s="16" t="str">
        <f t="shared" si="8"/>
        <v>rokprognozy=2039 i lp=46</v>
      </c>
      <c r="AF49" s="16" t="str">
        <f t="shared" si="8"/>
        <v>rokprognozy=2040 i lp=46</v>
      </c>
      <c r="AG49" s="16" t="str">
        <f t="shared" si="8"/>
        <v>rokprognozy=2041 i lp=46</v>
      </c>
      <c r="AH49" s="16" t="str">
        <f t="shared" si="8"/>
        <v>rokprognozy=2042 i lp=46</v>
      </c>
      <c r="AI49" s="16" t="str">
        <f t="shared" si="8"/>
        <v>rokprognozy=2043 i lp=46</v>
      </c>
      <c r="AJ49" s="16" t="str">
        <f t="shared" si="8"/>
        <v>rokprognozy=2044 i lp=46</v>
      </c>
      <c r="AK49" s="16" t="str">
        <f t="shared" si="8"/>
        <v>rokprognozy=2045 i lp=46</v>
      </c>
      <c r="AL49" s="16" t="str">
        <f t="shared" si="8"/>
        <v>rokprognozy=2046 i lp=46</v>
      </c>
      <c r="AM49" s="16" t="str">
        <f t="shared" si="8"/>
        <v>rokprognozy=2047 i lp=46</v>
      </c>
      <c r="AN49" s="16" t="str">
        <f t="shared" si="8"/>
        <v>rokprognozy=2048 i lp=46</v>
      </c>
      <c r="AO49" s="16" t="str">
        <f t="shared" si="8"/>
        <v>rokprognozy=2049 i lp=46</v>
      </c>
      <c r="AP49" s="16" t="str">
        <f t="shared" si="8"/>
        <v>rokprognozy=2050 i lp=46</v>
      </c>
    </row>
    <row r="50" spans="1:42" ht="24">
      <c r="A50" s="6">
        <v>47</v>
      </c>
      <c r="B50" s="17" t="s">
        <v>86</v>
      </c>
      <c r="C50" s="19" t="s">
        <v>24</v>
      </c>
      <c r="D50" s="15" t="str">
        <f t="shared" si="9"/>
        <v>rokprognozy=2012 i lp=47</v>
      </c>
      <c r="E50" s="15" t="str">
        <f t="shared" si="9"/>
        <v>rokprognozy=2013 i lp=47</v>
      </c>
      <c r="F50" s="16" t="str">
        <f t="shared" si="9"/>
        <v>rokprognozy=2014 i lp=47</v>
      </c>
      <c r="G50" s="16" t="str">
        <f t="shared" si="9"/>
        <v>rokprognozy=2015 i lp=47</v>
      </c>
      <c r="H50" s="16" t="str">
        <f t="shared" si="9"/>
        <v>rokprognozy=2016 i lp=47</v>
      </c>
      <c r="I50" s="16" t="str">
        <f t="shared" si="9"/>
        <v>rokprognozy=2017 i lp=47</v>
      </c>
      <c r="J50" s="16" t="str">
        <f t="shared" si="9"/>
        <v>rokprognozy=2018 i lp=47</v>
      </c>
      <c r="K50" s="16" t="str">
        <f t="shared" si="9"/>
        <v>rokprognozy=2019 i lp=47</v>
      </c>
      <c r="L50" s="16" t="str">
        <f t="shared" si="9"/>
        <v>rokprognozy=2020 i lp=47</v>
      </c>
      <c r="M50" s="16" t="str">
        <f t="shared" si="10"/>
        <v>rokprognozy=2021 i lp=47</v>
      </c>
      <c r="N50" s="16" t="str">
        <f t="shared" si="10"/>
        <v>rokprognozy=2022 i lp=47</v>
      </c>
      <c r="O50" s="16" t="str">
        <f t="shared" si="10"/>
        <v>rokprognozy=2023 i lp=47</v>
      </c>
      <c r="P50" s="16" t="str">
        <f t="shared" si="10"/>
        <v>rokprognozy=2024 i lp=47</v>
      </c>
      <c r="Q50" s="16" t="str">
        <f t="shared" si="10"/>
        <v>rokprognozy=2025 i lp=47</v>
      </c>
      <c r="R50" s="16" t="str">
        <f t="shared" si="10"/>
        <v>rokprognozy=2026 i lp=47</v>
      </c>
      <c r="S50" s="16" t="str">
        <f t="shared" si="10"/>
        <v>rokprognozy=2027 i lp=47</v>
      </c>
      <c r="T50" s="16" t="str">
        <f t="shared" si="10"/>
        <v>rokprognozy=2028 i lp=47</v>
      </c>
      <c r="U50" s="16" t="str">
        <f t="shared" si="10"/>
        <v>rokprognozy=2029 i lp=47</v>
      </c>
      <c r="V50" s="16" t="str">
        <f t="shared" si="10"/>
        <v>rokprognozy=2030 i lp=47</v>
      </c>
      <c r="W50" s="16" t="str">
        <f t="shared" si="10"/>
        <v>rokprognozy=2031 i lp=47</v>
      </c>
      <c r="X50" s="16" t="str">
        <f t="shared" si="10"/>
        <v>rokprognozy=2032 i lp=47</v>
      </c>
      <c r="Y50" s="16" t="str">
        <f t="shared" si="10"/>
        <v>rokprognozy=2033 i lp=47</v>
      </c>
      <c r="Z50" s="16" t="str">
        <f t="shared" si="10"/>
        <v>rokprognozy=2034 i lp=47</v>
      </c>
      <c r="AA50" s="16" t="str">
        <f t="shared" si="10"/>
        <v>rokprognozy=2035 i lp=47</v>
      </c>
      <c r="AB50" s="16" t="str">
        <f t="shared" si="10"/>
        <v>rokprognozy=2036 i lp=47</v>
      </c>
      <c r="AC50" s="16" t="str">
        <f t="shared" si="8"/>
        <v>rokprognozy=2037 i lp=47</v>
      </c>
      <c r="AD50" s="16" t="str">
        <f t="shared" si="8"/>
        <v>rokprognozy=2038 i lp=47</v>
      </c>
      <c r="AE50" s="16" t="str">
        <f t="shared" si="8"/>
        <v>rokprognozy=2039 i lp=47</v>
      </c>
      <c r="AF50" s="16" t="str">
        <f t="shared" si="8"/>
        <v>rokprognozy=2040 i lp=47</v>
      </c>
      <c r="AG50" s="16" t="str">
        <f t="shared" si="8"/>
        <v>rokprognozy=2041 i lp=47</v>
      </c>
      <c r="AH50" s="16" t="str">
        <f t="shared" si="8"/>
        <v>rokprognozy=2042 i lp=47</v>
      </c>
      <c r="AI50" s="16" t="str">
        <f t="shared" si="8"/>
        <v>rokprognozy=2043 i lp=47</v>
      </c>
      <c r="AJ50" s="16" t="str">
        <f t="shared" si="8"/>
        <v>rokprognozy=2044 i lp=47</v>
      </c>
      <c r="AK50" s="16" t="str">
        <f t="shared" si="8"/>
        <v>rokprognozy=2045 i lp=47</v>
      </c>
      <c r="AL50" s="16" t="str">
        <f t="shared" si="8"/>
        <v>rokprognozy=2046 i lp=47</v>
      </c>
      <c r="AM50" s="16" t="str">
        <f t="shared" si="8"/>
        <v>rokprognozy=2047 i lp=47</v>
      </c>
      <c r="AN50" s="16" t="str">
        <f t="shared" si="8"/>
        <v>rokprognozy=2048 i lp=47</v>
      </c>
      <c r="AO50" s="16" t="str">
        <f t="shared" si="8"/>
        <v>rokprognozy=2049 i lp=47</v>
      </c>
      <c r="AP50" s="16" t="str">
        <f t="shared" si="8"/>
        <v>rokprognozy=2050 i lp=47</v>
      </c>
    </row>
    <row r="51" spans="1:42" ht="24">
      <c r="A51" s="6">
        <v>48</v>
      </c>
      <c r="B51" s="17">
        <v>22</v>
      </c>
      <c r="C51" s="19" t="s">
        <v>25</v>
      </c>
      <c r="D51" s="15" t="str">
        <f t="shared" si="9"/>
        <v>rokprognozy=2012 i lp=48</v>
      </c>
      <c r="E51" s="15" t="str">
        <f t="shared" si="9"/>
        <v>rokprognozy=2013 i lp=48</v>
      </c>
      <c r="F51" s="16" t="str">
        <f t="shared" si="9"/>
        <v>rokprognozy=2014 i lp=48</v>
      </c>
      <c r="G51" s="16" t="str">
        <f t="shared" si="9"/>
        <v>rokprognozy=2015 i lp=48</v>
      </c>
      <c r="H51" s="16" t="str">
        <f t="shared" si="9"/>
        <v>rokprognozy=2016 i lp=48</v>
      </c>
      <c r="I51" s="16" t="str">
        <f t="shared" si="9"/>
        <v>rokprognozy=2017 i lp=48</v>
      </c>
      <c r="J51" s="16" t="str">
        <f t="shared" si="9"/>
        <v>rokprognozy=2018 i lp=48</v>
      </c>
      <c r="K51" s="16" t="str">
        <f t="shared" si="9"/>
        <v>rokprognozy=2019 i lp=48</v>
      </c>
      <c r="L51" s="16" t="str">
        <f t="shared" si="9"/>
        <v>rokprognozy=2020 i lp=48</v>
      </c>
      <c r="M51" s="16" t="str">
        <f t="shared" si="10"/>
        <v>rokprognozy=2021 i lp=48</v>
      </c>
      <c r="N51" s="16" t="str">
        <f t="shared" si="10"/>
        <v>rokprognozy=2022 i lp=48</v>
      </c>
      <c r="O51" s="16" t="str">
        <f t="shared" si="10"/>
        <v>rokprognozy=2023 i lp=48</v>
      </c>
      <c r="P51" s="16" t="str">
        <f t="shared" si="10"/>
        <v>rokprognozy=2024 i lp=48</v>
      </c>
      <c r="Q51" s="16" t="str">
        <f t="shared" si="10"/>
        <v>rokprognozy=2025 i lp=48</v>
      </c>
      <c r="R51" s="16" t="str">
        <f t="shared" si="10"/>
        <v>rokprognozy=2026 i lp=48</v>
      </c>
      <c r="S51" s="16" t="str">
        <f t="shared" si="10"/>
        <v>rokprognozy=2027 i lp=48</v>
      </c>
      <c r="T51" s="16" t="str">
        <f t="shared" si="10"/>
        <v>rokprognozy=2028 i lp=48</v>
      </c>
      <c r="U51" s="16" t="str">
        <f t="shared" si="10"/>
        <v>rokprognozy=2029 i lp=48</v>
      </c>
      <c r="V51" s="16" t="str">
        <f t="shared" si="10"/>
        <v>rokprognozy=2030 i lp=48</v>
      </c>
      <c r="W51" s="16" t="str">
        <f t="shared" si="10"/>
        <v>rokprognozy=2031 i lp=48</v>
      </c>
      <c r="X51" s="16" t="str">
        <f t="shared" si="10"/>
        <v>rokprognozy=2032 i lp=48</v>
      </c>
      <c r="Y51" s="16" t="str">
        <f t="shared" si="10"/>
        <v>rokprognozy=2033 i lp=48</v>
      </c>
      <c r="Z51" s="16" t="str">
        <f t="shared" si="10"/>
        <v>rokprognozy=2034 i lp=48</v>
      </c>
      <c r="AA51" s="16" t="str">
        <f t="shared" si="10"/>
        <v>rokprognozy=2035 i lp=48</v>
      </c>
      <c r="AB51" s="16" t="str">
        <f t="shared" si="10"/>
        <v>rokprognozy=2036 i lp=48</v>
      </c>
      <c r="AC51" s="16" t="str">
        <f t="shared" si="8"/>
        <v>rokprognozy=2037 i lp=48</v>
      </c>
      <c r="AD51" s="16" t="str">
        <f t="shared" si="8"/>
        <v>rokprognozy=2038 i lp=48</v>
      </c>
      <c r="AE51" s="16" t="str">
        <f t="shared" si="8"/>
        <v>rokprognozy=2039 i lp=48</v>
      </c>
      <c r="AF51" s="16" t="str">
        <f t="shared" si="8"/>
        <v>rokprognozy=2040 i lp=48</v>
      </c>
      <c r="AG51" s="16" t="str">
        <f t="shared" si="8"/>
        <v>rokprognozy=2041 i lp=48</v>
      </c>
      <c r="AH51" s="16" t="str">
        <f t="shared" si="8"/>
        <v>rokprognozy=2042 i lp=48</v>
      </c>
      <c r="AI51" s="16" t="str">
        <f t="shared" si="8"/>
        <v>rokprognozy=2043 i lp=48</v>
      </c>
      <c r="AJ51" s="16" t="str">
        <f t="shared" si="8"/>
        <v>rokprognozy=2044 i lp=48</v>
      </c>
      <c r="AK51" s="16" t="str">
        <f t="shared" si="8"/>
        <v>rokprognozy=2045 i lp=48</v>
      </c>
      <c r="AL51" s="16" t="str">
        <f t="shared" si="8"/>
        <v>rokprognozy=2046 i lp=48</v>
      </c>
      <c r="AM51" s="16" t="str">
        <f t="shared" si="8"/>
        <v>rokprognozy=2047 i lp=48</v>
      </c>
      <c r="AN51" s="16" t="str">
        <f t="shared" si="8"/>
        <v>rokprognozy=2048 i lp=48</v>
      </c>
      <c r="AO51" s="16" t="str">
        <f t="shared" ref="AH51:AP52" si="11">+"rokprognozy="&amp;AO$3&amp;" i lp="&amp;$A51</f>
        <v>rokprognozy=2049 i lp=48</v>
      </c>
      <c r="AP51" s="16" t="str">
        <f t="shared" si="11"/>
        <v>rokprognozy=2050 i lp=48</v>
      </c>
    </row>
    <row r="52" spans="1:42" ht="24">
      <c r="A52" s="6">
        <v>49</v>
      </c>
      <c r="B52" s="17" t="s">
        <v>87</v>
      </c>
      <c r="C52" s="19" t="s">
        <v>26</v>
      </c>
      <c r="D52" s="15" t="str">
        <f t="shared" si="9"/>
        <v>rokprognozy=2012 i lp=49</v>
      </c>
      <c r="E52" s="15" t="str">
        <f t="shared" si="9"/>
        <v>rokprognozy=2013 i lp=49</v>
      </c>
      <c r="F52" s="16" t="str">
        <f t="shared" si="9"/>
        <v>rokprognozy=2014 i lp=49</v>
      </c>
      <c r="G52" s="16" t="str">
        <f t="shared" si="9"/>
        <v>rokprognozy=2015 i lp=49</v>
      </c>
      <c r="H52" s="16" t="str">
        <f t="shared" si="9"/>
        <v>rokprognozy=2016 i lp=49</v>
      </c>
      <c r="I52" s="16" t="str">
        <f t="shared" si="9"/>
        <v>rokprognozy=2017 i lp=49</v>
      </c>
      <c r="J52" s="16" t="str">
        <f t="shared" si="9"/>
        <v>rokprognozy=2018 i lp=49</v>
      </c>
      <c r="K52" s="16" t="str">
        <f t="shared" si="9"/>
        <v>rokprognozy=2019 i lp=49</v>
      </c>
      <c r="L52" s="16" t="str">
        <f t="shared" si="9"/>
        <v>rokprognozy=2020 i lp=49</v>
      </c>
      <c r="M52" s="16" t="str">
        <f t="shared" si="10"/>
        <v>rokprognozy=2021 i lp=49</v>
      </c>
      <c r="N52" s="16" t="str">
        <f t="shared" si="10"/>
        <v>rokprognozy=2022 i lp=49</v>
      </c>
      <c r="O52" s="16" t="str">
        <f t="shared" si="10"/>
        <v>rokprognozy=2023 i lp=49</v>
      </c>
      <c r="P52" s="16" t="str">
        <f t="shared" si="10"/>
        <v>rokprognozy=2024 i lp=49</v>
      </c>
      <c r="Q52" s="16" t="str">
        <f t="shared" si="10"/>
        <v>rokprognozy=2025 i lp=49</v>
      </c>
      <c r="R52" s="16" t="str">
        <f t="shared" si="10"/>
        <v>rokprognozy=2026 i lp=49</v>
      </c>
      <c r="S52" s="16" t="str">
        <f t="shared" si="10"/>
        <v>rokprognozy=2027 i lp=49</v>
      </c>
      <c r="T52" s="16" t="str">
        <f t="shared" si="10"/>
        <v>rokprognozy=2028 i lp=49</v>
      </c>
      <c r="U52" s="16" t="str">
        <f t="shared" si="10"/>
        <v>rokprognozy=2029 i lp=49</v>
      </c>
      <c r="V52" s="16" t="str">
        <f t="shared" si="10"/>
        <v>rokprognozy=2030 i lp=49</v>
      </c>
      <c r="W52" s="16" t="str">
        <f t="shared" si="10"/>
        <v>rokprognozy=2031 i lp=49</v>
      </c>
      <c r="X52" s="16" t="str">
        <f t="shared" si="10"/>
        <v>rokprognozy=2032 i lp=49</v>
      </c>
      <c r="Y52" s="16" t="str">
        <f t="shared" si="10"/>
        <v>rokprognozy=2033 i lp=49</v>
      </c>
      <c r="Z52" s="16" t="str">
        <f t="shared" si="10"/>
        <v>rokprognozy=2034 i lp=49</v>
      </c>
      <c r="AA52" s="16" t="str">
        <f t="shared" si="10"/>
        <v>rokprognozy=2035 i lp=49</v>
      </c>
      <c r="AB52" s="16" t="str">
        <f t="shared" si="10"/>
        <v>rokprognozy=2036 i lp=49</v>
      </c>
      <c r="AC52" s="16" t="str">
        <f t="shared" si="8"/>
        <v>rokprognozy=2037 i lp=49</v>
      </c>
      <c r="AD52" s="16" t="str">
        <f t="shared" si="8"/>
        <v>rokprognozy=2038 i lp=49</v>
      </c>
      <c r="AE52" s="16" t="str">
        <f t="shared" si="8"/>
        <v>rokprognozy=2039 i lp=49</v>
      </c>
      <c r="AF52" s="16" t="str">
        <f t="shared" si="8"/>
        <v>rokprognozy=2040 i lp=49</v>
      </c>
      <c r="AG52" s="16" t="str">
        <f t="shared" si="8"/>
        <v>rokprognozy=2041 i lp=49</v>
      </c>
      <c r="AH52" s="16" t="str">
        <f t="shared" si="11"/>
        <v>rokprognozy=2042 i lp=49</v>
      </c>
      <c r="AI52" s="16" t="str">
        <f t="shared" si="11"/>
        <v>rokprognozy=2043 i lp=49</v>
      </c>
      <c r="AJ52" s="16" t="str">
        <f t="shared" si="11"/>
        <v>rokprognozy=2044 i lp=49</v>
      </c>
      <c r="AK52" s="16" t="str">
        <f t="shared" si="11"/>
        <v>rokprognozy=2045 i lp=49</v>
      </c>
      <c r="AL52" s="16" t="str">
        <f t="shared" si="11"/>
        <v>rokprognozy=2046 i lp=49</v>
      </c>
      <c r="AM52" s="16" t="str">
        <f t="shared" si="11"/>
        <v>rokprognozy=2047 i lp=49</v>
      </c>
      <c r="AN52" s="16" t="str">
        <f t="shared" si="11"/>
        <v>rokprognozy=2048 i lp=49</v>
      </c>
      <c r="AO52" s="16" t="str">
        <f t="shared" si="11"/>
        <v>rokprognozy=2049 i lp=49</v>
      </c>
      <c r="AP52" s="16" t="str">
        <f t="shared" si="11"/>
        <v>rokprognozy=2050 i lp=49</v>
      </c>
    </row>
    <row r="53" spans="1:42">
      <c r="A53" s="6">
        <v>50</v>
      </c>
      <c r="B53" s="17">
        <v>23</v>
      </c>
      <c r="C53" s="19" t="s">
        <v>88</v>
      </c>
      <c r="D53" s="15" t="str">
        <f t="shared" si="9"/>
        <v>rokprognozy=2012 i lp=50</v>
      </c>
      <c r="E53" s="15" t="str">
        <f t="shared" si="9"/>
        <v>rokprognozy=2013 i lp=50</v>
      </c>
      <c r="F53" s="16" t="str">
        <f t="shared" si="9"/>
        <v>rokprognozy=2014 i lp=50</v>
      </c>
      <c r="G53" s="16" t="str">
        <f t="shared" si="9"/>
        <v>rokprognozy=2015 i lp=50</v>
      </c>
      <c r="H53" s="16" t="str">
        <f t="shared" si="9"/>
        <v>rokprognozy=2016 i lp=50</v>
      </c>
      <c r="I53" s="16" t="str">
        <f t="shared" si="9"/>
        <v>rokprognozy=2017 i lp=50</v>
      </c>
      <c r="J53" s="16" t="str">
        <f t="shared" si="9"/>
        <v>rokprognozy=2018 i lp=50</v>
      </c>
      <c r="K53" s="16" t="str">
        <f t="shared" si="9"/>
        <v>rokprognozy=2019 i lp=50</v>
      </c>
      <c r="L53" s="16" t="str">
        <f t="shared" si="9"/>
        <v>rokprognozy=2020 i lp=50</v>
      </c>
      <c r="M53" s="16" t="str">
        <f t="shared" si="10"/>
        <v>rokprognozy=2021 i lp=50</v>
      </c>
      <c r="N53" s="16" t="str">
        <f t="shared" si="10"/>
        <v>rokprognozy=2022 i lp=50</v>
      </c>
      <c r="O53" s="16" t="str">
        <f t="shared" si="10"/>
        <v>rokprognozy=2023 i lp=50</v>
      </c>
      <c r="P53" s="16" t="str">
        <f t="shared" si="10"/>
        <v>rokprognozy=2024 i lp=50</v>
      </c>
      <c r="Q53" s="16" t="str">
        <f t="shared" si="10"/>
        <v>rokprognozy=2025 i lp=50</v>
      </c>
      <c r="R53" s="16" t="str">
        <f t="shared" si="10"/>
        <v>rokprognozy=2026 i lp=50</v>
      </c>
      <c r="S53" s="16" t="str">
        <f t="shared" si="10"/>
        <v>rokprognozy=2027 i lp=50</v>
      </c>
      <c r="T53" s="16" t="str">
        <f t="shared" si="10"/>
        <v>rokprognozy=2028 i lp=50</v>
      </c>
      <c r="U53" s="16" t="str">
        <f t="shared" si="10"/>
        <v>rokprognozy=2029 i lp=50</v>
      </c>
      <c r="V53" s="16" t="str">
        <f t="shared" si="10"/>
        <v>rokprognozy=2030 i lp=50</v>
      </c>
      <c r="W53" s="16" t="str">
        <f t="shared" si="10"/>
        <v>rokprognozy=2031 i lp=50</v>
      </c>
      <c r="X53" s="16" t="str">
        <f t="shared" si="10"/>
        <v>rokprognozy=2032 i lp=50</v>
      </c>
      <c r="Y53" s="16" t="str">
        <f t="shared" si="10"/>
        <v>rokprognozy=2033 i lp=50</v>
      </c>
      <c r="Z53" s="16" t="str">
        <f t="shared" si="10"/>
        <v>rokprognozy=2034 i lp=50</v>
      </c>
      <c r="AA53" s="16" t="str">
        <f t="shared" si="10"/>
        <v>rokprognozy=2035 i lp=50</v>
      </c>
      <c r="AB53" s="16" t="str">
        <f t="shared" si="10"/>
        <v>rokprognozy=2036 i lp=50</v>
      </c>
      <c r="AC53" s="16" t="str">
        <f t="shared" ref="AC53:AP60" si="12">+"rokprognozy="&amp;AC$3&amp;" i lp="&amp;$A53</f>
        <v>rokprognozy=2037 i lp=50</v>
      </c>
      <c r="AD53" s="16" t="str">
        <f t="shared" si="12"/>
        <v>rokprognozy=2038 i lp=50</v>
      </c>
      <c r="AE53" s="16" t="str">
        <f t="shared" si="12"/>
        <v>rokprognozy=2039 i lp=50</v>
      </c>
      <c r="AF53" s="16" t="str">
        <f t="shared" si="12"/>
        <v>rokprognozy=2040 i lp=50</v>
      </c>
      <c r="AG53" s="16" t="str">
        <f t="shared" si="12"/>
        <v>rokprognozy=2041 i lp=50</v>
      </c>
      <c r="AH53" s="16" t="str">
        <f t="shared" si="12"/>
        <v>rokprognozy=2042 i lp=50</v>
      </c>
      <c r="AI53" s="16" t="str">
        <f t="shared" si="12"/>
        <v>rokprognozy=2043 i lp=50</v>
      </c>
      <c r="AJ53" s="16" t="str">
        <f t="shared" si="12"/>
        <v>rokprognozy=2044 i lp=50</v>
      </c>
      <c r="AK53" s="16" t="str">
        <f t="shared" si="12"/>
        <v>rokprognozy=2045 i lp=50</v>
      </c>
      <c r="AL53" s="16" t="str">
        <f t="shared" si="12"/>
        <v>rokprognozy=2046 i lp=50</v>
      </c>
      <c r="AM53" s="16" t="str">
        <f t="shared" si="12"/>
        <v>rokprognozy=2047 i lp=50</v>
      </c>
      <c r="AN53" s="16" t="str">
        <f t="shared" si="12"/>
        <v>rokprognozy=2048 i lp=50</v>
      </c>
      <c r="AO53" s="16" t="str">
        <f t="shared" si="12"/>
        <v>rokprognozy=2049 i lp=50</v>
      </c>
      <c r="AP53" s="16" t="str">
        <f t="shared" si="12"/>
        <v>rokprognozy=2050 i lp=50</v>
      </c>
    </row>
    <row r="54" spans="1:42">
      <c r="A54" s="6">
        <v>51</v>
      </c>
      <c r="B54" s="17">
        <v>24</v>
      </c>
      <c r="C54" s="19" t="s">
        <v>89</v>
      </c>
      <c r="D54" s="15" t="str">
        <f t="shared" si="9"/>
        <v>rokprognozy=2012 i lp=51</v>
      </c>
      <c r="E54" s="15" t="str">
        <f t="shared" si="9"/>
        <v>rokprognozy=2013 i lp=51</v>
      </c>
      <c r="F54" s="16" t="str">
        <f t="shared" si="9"/>
        <v>rokprognozy=2014 i lp=51</v>
      </c>
      <c r="G54" s="16" t="str">
        <f t="shared" si="9"/>
        <v>rokprognozy=2015 i lp=51</v>
      </c>
      <c r="H54" s="16" t="str">
        <f t="shared" si="9"/>
        <v>rokprognozy=2016 i lp=51</v>
      </c>
      <c r="I54" s="16" t="str">
        <f t="shared" si="9"/>
        <v>rokprognozy=2017 i lp=51</v>
      </c>
      <c r="J54" s="16" t="str">
        <f t="shared" si="9"/>
        <v>rokprognozy=2018 i lp=51</v>
      </c>
      <c r="K54" s="16" t="str">
        <f t="shared" si="9"/>
        <v>rokprognozy=2019 i lp=51</v>
      </c>
      <c r="L54" s="16" t="str">
        <f t="shared" si="9"/>
        <v>rokprognozy=2020 i lp=51</v>
      </c>
      <c r="M54" s="16" t="str">
        <f t="shared" si="10"/>
        <v>rokprognozy=2021 i lp=51</v>
      </c>
      <c r="N54" s="16" t="str">
        <f t="shared" si="10"/>
        <v>rokprognozy=2022 i lp=51</v>
      </c>
      <c r="O54" s="16" t="str">
        <f t="shared" si="10"/>
        <v>rokprognozy=2023 i lp=51</v>
      </c>
      <c r="P54" s="16" t="str">
        <f t="shared" si="10"/>
        <v>rokprognozy=2024 i lp=51</v>
      </c>
      <c r="Q54" s="16" t="str">
        <f t="shared" si="10"/>
        <v>rokprognozy=2025 i lp=51</v>
      </c>
      <c r="R54" s="16" t="str">
        <f t="shared" si="10"/>
        <v>rokprognozy=2026 i lp=51</v>
      </c>
      <c r="S54" s="16" t="str">
        <f t="shared" si="10"/>
        <v>rokprognozy=2027 i lp=51</v>
      </c>
      <c r="T54" s="16" t="str">
        <f t="shared" si="10"/>
        <v>rokprognozy=2028 i lp=51</v>
      </c>
      <c r="U54" s="16" t="str">
        <f t="shared" si="10"/>
        <v>rokprognozy=2029 i lp=51</v>
      </c>
      <c r="V54" s="16" t="str">
        <f t="shared" si="10"/>
        <v>rokprognozy=2030 i lp=51</v>
      </c>
      <c r="W54" s="16" t="str">
        <f t="shared" si="10"/>
        <v>rokprognozy=2031 i lp=51</v>
      </c>
      <c r="X54" s="16" t="str">
        <f t="shared" si="10"/>
        <v>rokprognozy=2032 i lp=51</v>
      </c>
      <c r="Y54" s="16" t="str">
        <f t="shared" si="10"/>
        <v>rokprognozy=2033 i lp=51</v>
      </c>
      <c r="Z54" s="16" t="str">
        <f t="shared" si="10"/>
        <v>rokprognozy=2034 i lp=51</v>
      </c>
      <c r="AA54" s="16" t="str">
        <f t="shared" si="10"/>
        <v>rokprognozy=2035 i lp=51</v>
      </c>
      <c r="AB54" s="16" t="str">
        <f t="shared" si="10"/>
        <v>rokprognozy=2036 i lp=51</v>
      </c>
      <c r="AC54" s="16" t="str">
        <f t="shared" si="12"/>
        <v>rokprognozy=2037 i lp=51</v>
      </c>
      <c r="AD54" s="16" t="str">
        <f t="shared" si="12"/>
        <v>rokprognozy=2038 i lp=51</v>
      </c>
      <c r="AE54" s="16" t="str">
        <f t="shared" si="12"/>
        <v>rokprognozy=2039 i lp=51</v>
      </c>
      <c r="AF54" s="16" t="str">
        <f t="shared" si="12"/>
        <v>rokprognozy=2040 i lp=51</v>
      </c>
      <c r="AG54" s="16" t="str">
        <f t="shared" si="12"/>
        <v>rokprognozy=2041 i lp=51</v>
      </c>
      <c r="AH54" s="16" t="str">
        <f t="shared" si="12"/>
        <v>rokprognozy=2042 i lp=51</v>
      </c>
      <c r="AI54" s="16" t="str">
        <f t="shared" si="12"/>
        <v>rokprognozy=2043 i lp=51</v>
      </c>
      <c r="AJ54" s="16" t="str">
        <f t="shared" si="12"/>
        <v>rokprognozy=2044 i lp=51</v>
      </c>
      <c r="AK54" s="16" t="str">
        <f t="shared" si="12"/>
        <v>rokprognozy=2045 i lp=51</v>
      </c>
      <c r="AL54" s="16" t="str">
        <f t="shared" si="12"/>
        <v>rokprognozy=2046 i lp=51</v>
      </c>
      <c r="AM54" s="16" t="str">
        <f t="shared" si="12"/>
        <v>rokprognozy=2047 i lp=51</v>
      </c>
      <c r="AN54" s="16" t="str">
        <f t="shared" si="12"/>
        <v>rokprognozy=2048 i lp=51</v>
      </c>
      <c r="AO54" s="16" t="str">
        <f t="shared" si="12"/>
        <v>rokprognozy=2049 i lp=51</v>
      </c>
      <c r="AP54" s="16" t="str">
        <f t="shared" si="12"/>
        <v>rokprognozy=2050 i lp=51</v>
      </c>
    </row>
    <row r="55" spans="1:42">
      <c r="A55" s="6">
        <v>52</v>
      </c>
      <c r="B55" s="17">
        <v>25</v>
      </c>
      <c r="C55" s="19" t="s">
        <v>11</v>
      </c>
      <c r="D55" s="15" t="str">
        <f t="shared" si="9"/>
        <v>rokprognozy=2012 i lp=52</v>
      </c>
      <c r="E55" s="15" t="str">
        <f t="shared" si="9"/>
        <v>rokprognozy=2013 i lp=52</v>
      </c>
      <c r="F55" s="16" t="str">
        <f t="shared" si="9"/>
        <v>rokprognozy=2014 i lp=52</v>
      </c>
      <c r="G55" s="16" t="str">
        <f t="shared" si="9"/>
        <v>rokprognozy=2015 i lp=52</v>
      </c>
      <c r="H55" s="16" t="str">
        <f t="shared" si="9"/>
        <v>rokprognozy=2016 i lp=52</v>
      </c>
      <c r="I55" s="16" t="str">
        <f t="shared" si="9"/>
        <v>rokprognozy=2017 i lp=52</v>
      </c>
      <c r="J55" s="16" t="str">
        <f t="shared" si="9"/>
        <v>rokprognozy=2018 i lp=52</v>
      </c>
      <c r="K55" s="16" t="str">
        <f t="shared" si="9"/>
        <v>rokprognozy=2019 i lp=52</v>
      </c>
      <c r="L55" s="16" t="str">
        <f t="shared" si="9"/>
        <v>rokprognozy=2020 i lp=52</v>
      </c>
      <c r="M55" s="16" t="str">
        <f t="shared" si="10"/>
        <v>rokprognozy=2021 i lp=52</v>
      </c>
      <c r="N55" s="16" t="str">
        <f t="shared" si="10"/>
        <v>rokprognozy=2022 i lp=52</v>
      </c>
      <c r="O55" s="16" t="str">
        <f t="shared" si="10"/>
        <v>rokprognozy=2023 i lp=52</v>
      </c>
      <c r="P55" s="16" t="str">
        <f t="shared" si="10"/>
        <v>rokprognozy=2024 i lp=52</v>
      </c>
      <c r="Q55" s="16" t="str">
        <f t="shared" si="10"/>
        <v>rokprognozy=2025 i lp=52</v>
      </c>
      <c r="R55" s="16" t="str">
        <f t="shared" si="10"/>
        <v>rokprognozy=2026 i lp=52</v>
      </c>
      <c r="S55" s="16" t="str">
        <f t="shared" si="10"/>
        <v>rokprognozy=2027 i lp=52</v>
      </c>
      <c r="T55" s="16" t="str">
        <f t="shared" si="10"/>
        <v>rokprognozy=2028 i lp=52</v>
      </c>
      <c r="U55" s="16" t="str">
        <f t="shared" si="10"/>
        <v>rokprognozy=2029 i lp=52</v>
      </c>
      <c r="V55" s="16" t="str">
        <f t="shared" si="10"/>
        <v>rokprognozy=2030 i lp=52</v>
      </c>
      <c r="W55" s="16" t="str">
        <f t="shared" si="10"/>
        <v>rokprognozy=2031 i lp=52</v>
      </c>
      <c r="X55" s="16" t="str">
        <f t="shared" si="10"/>
        <v>rokprognozy=2032 i lp=52</v>
      </c>
      <c r="Y55" s="16" t="str">
        <f t="shared" si="10"/>
        <v>rokprognozy=2033 i lp=52</v>
      </c>
      <c r="Z55" s="16" t="str">
        <f t="shared" si="10"/>
        <v>rokprognozy=2034 i lp=52</v>
      </c>
      <c r="AA55" s="16" t="str">
        <f t="shared" si="10"/>
        <v>rokprognozy=2035 i lp=52</v>
      </c>
      <c r="AB55" s="16" t="str">
        <f t="shared" si="10"/>
        <v>rokprognozy=2036 i lp=52</v>
      </c>
      <c r="AC55" s="16" t="str">
        <f t="shared" si="12"/>
        <v>rokprognozy=2037 i lp=52</v>
      </c>
      <c r="AD55" s="16" t="str">
        <f t="shared" si="12"/>
        <v>rokprognozy=2038 i lp=52</v>
      </c>
      <c r="AE55" s="16" t="str">
        <f t="shared" si="12"/>
        <v>rokprognozy=2039 i lp=52</v>
      </c>
      <c r="AF55" s="16" t="str">
        <f t="shared" si="12"/>
        <v>rokprognozy=2040 i lp=52</v>
      </c>
      <c r="AG55" s="16" t="str">
        <f t="shared" si="12"/>
        <v>rokprognozy=2041 i lp=52</v>
      </c>
      <c r="AH55" s="16" t="str">
        <f t="shared" si="12"/>
        <v>rokprognozy=2042 i lp=52</v>
      </c>
      <c r="AI55" s="16" t="str">
        <f t="shared" si="12"/>
        <v>rokprognozy=2043 i lp=52</v>
      </c>
      <c r="AJ55" s="16" t="str">
        <f t="shared" si="12"/>
        <v>rokprognozy=2044 i lp=52</v>
      </c>
      <c r="AK55" s="16" t="str">
        <f t="shared" si="12"/>
        <v>rokprognozy=2045 i lp=52</v>
      </c>
      <c r="AL55" s="16" t="str">
        <f t="shared" si="12"/>
        <v>rokprognozy=2046 i lp=52</v>
      </c>
      <c r="AM55" s="16" t="str">
        <f t="shared" si="12"/>
        <v>rokprognozy=2047 i lp=52</v>
      </c>
      <c r="AN55" s="16" t="str">
        <f t="shared" si="12"/>
        <v>rokprognozy=2048 i lp=52</v>
      </c>
      <c r="AO55" s="16" t="str">
        <f t="shared" si="12"/>
        <v>rokprognozy=2049 i lp=52</v>
      </c>
      <c r="AP55" s="16" t="str">
        <f t="shared" si="12"/>
        <v>rokprognozy=2050 i lp=52</v>
      </c>
    </row>
    <row r="56" spans="1:42">
      <c r="A56" s="6">
        <v>53</v>
      </c>
      <c r="B56" s="17">
        <v>26</v>
      </c>
      <c r="C56" s="19" t="s">
        <v>90</v>
      </c>
      <c r="D56" s="15" t="str">
        <f t="shared" si="9"/>
        <v>rokprognozy=2012 i lp=53</v>
      </c>
      <c r="E56" s="15" t="str">
        <f t="shared" si="9"/>
        <v>rokprognozy=2013 i lp=53</v>
      </c>
      <c r="F56" s="16" t="str">
        <f t="shared" si="9"/>
        <v>rokprognozy=2014 i lp=53</v>
      </c>
      <c r="G56" s="16" t="str">
        <f t="shared" si="9"/>
        <v>rokprognozy=2015 i lp=53</v>
      </c>
      <c r="H56" s="16" t="str">
        <f t="shared" si="9"/>
        <v>rokprognozy=2016 i lp=53</v>
      </c>
      <c r="I56" s="16" t="str">
        <f t="shared" si="9"/>
        <v>rokprognozy=2017 i lp=53</v>
      </c>
      <c r="J56" s="16" t="str">
        <f t="shared" si="9"/>
        <v>rokprognozy=2018 i lp=53</v>
      </c>
      <c r="K56" s="16" t="str">
        <f t="shared" si="9"/>
        <v>rokprognozy=2019 i lp=53</v>
      </c>
      <c r="L56" s="16" t="str">
        <f t="shared" si="9"/>
        <v>rokprognozy=2020 i lp=53</v>
      </c>
      <c r="M56" s="16" t="str">
        <f t="shared" si="10"/>
        <v>rokprognozy=2021 i lp=53</v>
      </c>
      <c r="N56" s="16" t="str">
        <f t="shared" si="10"/>
        <v>rokprognozy=2022 i lp=53</v>
      </c>
      <c r="O56" s="16" t="str">
        <f t="shared" si="10"/>
        <v>rokprognozy=2023 i lp=53</v>
      </c>
      <c r="P56" s="16" t="str">
        <f t="shared" si="10"/>
        <v>rokprognozy=2024 i lp=53</v>
      </c>
      <c r="Q56" s="16" t="str">
        <f t="shared" si="10"/>
        <v>rokprognozy=2025 i lp=53</v>
      </c>
      <c r="R56" s="16" t="str">
        <f t="shared" si="10"/>
        <v>rokprognozy=2026 i lp=53</v>
      </c>
      <c r="S56" s="16" t="str">
        <f t="shared" si="10"/>
        <v>rokprognozy=2027 i lp=53</v>
      </c>
      <c r="T56" s="16" t="str">
        <f t="shared" si="10"/>
        <v>rokprognozy=2028 i lp=53</v>
      </c>
      <c r="U56" s="16" t="str">
        <f t="shared" si="10"/>
        <v>rokprognozy=2029 i lp=53</v>
      </c>
      <c r="V56" s="16" t="str">
        <f t="shared" si="10"/>
        <v>rokprognozy=2030 i lp=53</v>
      </c>
      <c r="W56" s="16" t="str">
        <f t="shared" si="10"/>
        <v>rokprognozy=2031 i lp=53</v>
      </c>
      <c r="X56" s="16" t="str">
        <f t="shared" si="10"/>
        <v>rokprognozy=2032 i lp=53</v>
      </c>
      <c r="Y56" s="16" t="str">
        <f t="shared" si="10"/>
        <v>rokprognozy=2033 i lp=53</v>
      </c>
      <c r="Z56" s="16" t="str">
        <f t="shared" si="10"/>
        <v>rokprognozy=2034 i lp=53</v>
      </c>
      <c r="AA56" s="16" t="str">
        <f t="shared" si="10"/>
        <v>rokprognozy=2035 i lp=53</v>
      </c>
      <c r="AB56" s="16" t="str">
        <f t="shared" si="10"/>
        <v>rokprognozy=2036 i lp=53</v>
      </c>
      <c r="AC56" s="16" t="str">
        <f t="shared" si="12"/>
        <v>rokprognozy=2037 i lp=53</v>
      </c>
      <c r="AD56" s="16" t="str">
        <f t="shared" si="12"/>
        <v>rokprognozy=2038 i lp=53</v>
      </c>
      <c r="AE56" s="16" t="str">
        <f t="shared" si="12"/>
        <v>rokprognozy=2039 i lp=53</v>
      </c>
      <c r="AF56" s="16" t="str">
        <f t="shared" si="12"/>
        <v>rokprognozy=2040 i lp=53</v>
      </c>
      <c r="AG56" s="16" t="str">
        <f t="shared" si="12"/>
        <v>rokprognozy=2041 i lp=53</v>
      </c>
      <c r="AH56" s="16" t="str">
        <f t="shared" si="12"/>
        <v>rokprognozy=2042 i lp=53</v>
      </c>
      <c r="AI56" s="16" t="str">
        <f t="shared" si="12"/>
        <v>rokprognozy=2043 i lp=53</v>
      </c>
      <c r="AJ56" s="16" t="str">
        <f t="shared" si="12"/>
        <v>rokprognozy=2044 i lp=53</v>
      </c>
      <c r="AK56" s="16" t="str">
        <f t="shared" si="12"/>
        <v>rokprognozy=2045 i lp=53</v>
      </c>
      <c r="AL56" s="16" t="str">
        <f t="shared" si="12"/>
        <v>rokprognozy=2046 i lp=53</v>
      </c>
      <c r="AM56" s="16" t="str">
        <f t="shared" si="12"/>
        <v>rokprognozy=2047 i lp=53</v>
      </c>
      <c r="AN56" s="16" t="str">
        <f t="shared" si="12"/>
        <v>rokprognozy=2048 i lp=53</v>
      </c>
      <c r="AO56" s="16" t="str">
        <f t="shared" si="12"/>
        <v>rokprognozy=2049 i lp=53</v>
      </c>
      <c r="AP56" s="16" t="str">
        <f t="shared" si="12"/>
        <v>rokprognozy=2050 i lp=53</v>
      </c>
    </row>
    <row r="57" spans="1:42">
      <c r="A57" s="6">
        <v>54</v>
      </c>
      <c r="B57" s="17">
        <v>27</v>
      </c>
      <c r="C57" s="19" t="s">
        <v>9</v>
      </c>
      <c r="D57" s="15" t="str">
        <f t="shared" si="9"/>
        <v>rokprognozy=2012 i lp=54</v>
      </c>
      <c r="E57" s="15" t="str">
        <f t="shared" si="9"/>
        <v>rokprognozy=2013 i lp=54</v>
      </c>
      <c r="F57" s="16" t="str">
        <f t="shared" si="9"/>
        <v>rokprognozy=2014 i lp=54</v>
      </c>
      <c r="G57" s="16" t="str">
        <f t="shared" si="9"/>
        <v>rokprognozy=2015 i lp=54</v>
      </c>
      <c r="H57" s="16" t="str">
        <f t="shared" si="9"/>
        <v>rokprognozy=2016 i lp=54</v>
      </c>
      <c r="I57" s="16" t="str">
        <f t="shared" si="9"/>
        <v>rokprognozy=2017 i lp=54</v>
      </c>
      <c r="J57" s="16" t="str">
        <f t="shared" si="9"/>
        <v>rokprognozy=2018 i lp=54</v>
      </c>
      <c r="K57" s="16" t="str">
        <f t="shared" si="9"/>
        <v>rokprognozy=2019 i lp=54</v>
      </c>
      <c r="L57" s="16" t="str">
        <f t="shared" si="9"/>
        <v>rokprognozy=2020 i lp=54</v>
      </c>
      <c r="M57" s="16" t="str">
        <f t="shared" si="10"/>
        <v>rokprognozy=2021 i lp=54</v>
      </c>
      <c r="N57" s="16" t="str">
        <f t="shared" si="10"/>
        <v>rokprognozy=2022 i lp=54</v>
      </c>
      <c r="O57" s="16" t="str">
        <f t="shared" si="10"/>
        <v>rokprognozy=2023 i lp=54</v>
      </c>
      <c r="P57" s="16" t="str">
        <f t="shared" si="10"/>
        <v>rokprognozy=2024 i lp=54</v>
      </c>
      <c r="Q57" s="16" t="str">
        <f t="shared" si="10"/>
        <v>rokprognozy=2025 i lp=54</v>
      </c>
      <c r="R57" s="16" t="str">
        <f t="shared" si="10"/>
        <v>rokprognozy=2026 i lp=54</v>
      </c>
      <c r="S57" s="16" t="str">
        <f t="shared" si="10"/>
        <v>rokprognozy=2027 i lp=54</v>
      </c>
      <c r="T57" s="16" t="str">
        <f t="shared" si="10"/>
        <v>rokprognozy=2028 i lp=54</v>
      </c>
      <c r="U57" s="16" t="str">
        <f t="shared" si="10"/>
        <v>rokprognozy=2029 i lp=54</v>
      </c>
      <c r="V57" s="16" t="str">
        <f t="shared" si="10"/>
        <v>rokprognozy=2030 i lp=54</v>
      </c>
      <c r="W57" s="16" t="str">
        <f t="shared" si="10"/>
        <v>rokprognozy=2031 i lp=54</v>
      </c>
      <c r="X57" s="16" t="str">
        <f t="shared" si="10"/>
        <v>rokprognozy=2032 i lp=54</v>
      </c>
      <c r="Y57" s="16" t="str">
        <f t="shared" si="10"/>
        <v>rokprognozy=2033 i lp=54</v>
      </c>
      <c r="Z57" s="16" t="str">
        <f t="shared" si="10"/>
        <v>rokprognozy=2034 i lp=54</v>
      </c>
      <c r="AA57" s="16" t="str">
        <f t="shared" si="10"/>
        <v>rokprognozy=2035 i lp=54</v>
      </c>
      <c r="AB57" s="16" t="str">
        <f t="shared" si="10"/>
        <v>rokprognozy=2036 i lp=54</v>
      </c>
      <c r="AC57" s="16" t="str">
        <f t="shared" si="12"/>
        <v>rokprognozy=2037 i lp=54</v>
      </c>
      <c r="AD57" s="16" t="str">
        <f t="shared" si="12"/>
        <v>rokprognozy=2038 i lp=54</v>
      </c>
      <c r="AE57" s="16" t="str">
        <f t="shared" si="12"/>
        <v>rokprognozy=2039 i lp=54</v>
      </c>
      <c r="AF57" s="16" t="str">
        <f t="shared" si="12"/>
        <v>rokprognozy=2040 i lp=54</v>
      </c>
      <c r="AG57" s="16" t="str">
        <f t="shared" si="12"/>
        <v>rokprognozy=2041 i lp=54</v>
      </c>
      <c r="AH57" s="16" t="str">
        <f t="shared" si="12"/>
        <v>rokprognozy=2042 i lp=54</v>
      </c>
      <c r="AI57" s="16" t="str">
        <f t="shared" si="12"/>
        <v>rokprognozy=2043 i lp=54</v>
      </c>
      <c r="AJ57" s="16" t="str">
        <f t="shared" si="12"/>
        <v>rokprognozy=2044 i lp=54</v>
      </c>
      <c r="AK57" s="16" t="str">
        <f t="shared" si="12"/>
        <v>rokprognozy=2045 i lp=54</v>
      </c>
      <c r="AL57" s="16" t="str">
        <f t="shared" si="12"/>
        <v>rokprognozy=2046 i lp=54</v>
      </c>
      <c r="AM57" s="16" t="str">
        <f t="shared" si="12"/>
        <v>rokprognozy=2047 i lp=54</v>
      </c>
      <c r="AN57" s="16" t="str">
        <f t="shared" si="12"/>
        <v>rokprognozy=2048 i lp=54</v>
      </c>
      <c r="AO57" s="16" t="str">
        <f t="shared" si="12"/>
        <v>rokprognozy=2049 i lp=54</v>
      </c>
      <c r="AP57" s="16" t="str">
        <f t="shared" si="12"/>
        <v>rokprognozy=2050 i lp=54</v>
      </c>
    </row>
    <row r="58" spans="1:42">
      <c r="A58" s="6">
        <v>55</v>
      </c>
      <c r="B58" s="17">
        <v>28</v>
      </c>
      <c r="C58" s="19" t="s">
        <v>10</v>
      </c>
      <c r="D58" s="15" t="str">
        <f t="shared" si="9"/>
        <v>rokprognozy=2012 i lp=55</v>
      </c>
      <c r="E58" s="15" t="str">
        <f t="shared" si="9"/>
        <v>rokprognozy=2013 i lp=55</v>
      </c>
      <c r="F58" s="16" t="str">
        <f t="shared" si="9"/>
        <v>rokprognozy=2014 i lp=55</v>
      </c>
      <c r="G58" s="16" t="str">
        <f t="shared" si="9"/>
        <v>rokprognozy=2015 i lp=55</v>
      </c>
      <c r="H58" s="16" t="str">
        <f t="shared" si="9"/>
        <v>rokprognozy=2016 i lp=55</v>
      </c>
      <c r="I58" s="16" t="str">
        <f t="shared" si="9"/>
        <v>rokprognozy=2017 i lp=55</v>
      </c>
      <c r="J58" s="16" t="str">
        <f t="shared" si="9"/>
        <v>rokprognozy=2018 i lp=55</v>
      </c>
      <c r="K58" s="16" t="str">
        <f t="shared" si="9"/>
        <v>rokprognozy=2019 i lp=55</v>
      </c>
      <c r="L58" s="16" t="str">
        <f t="shared" si="9"/>
        <v>rokprognozy=2020 i lp=55</v>
      </c>
      <c r="M58" s="16" t="str">
        <f t="shared" si="10"/>
        <v>rokprognozy=2021 i lp=55</v>
      </c>
      <c r="N58" s="16" t="str">
        <f t="shared" si="10"/>
        <v>rokprognozy=2022 i lp=55</v>
      </c>
      <c r="O58" s="16" t="str">
        <f t="shared" si="10"/>
        <v>rokprognozy=2023 i lp=55</v>
      </c>
      <c r="P58" s="16" t="str">
        <f t="shared" si="10"/>
        <v>rokprognozy=2024 i lp=55</v>
      </c>
      <c r="Q58" s="16" t="str">
        <f t="shared" si="10"/>
        <v>rokprognozy=2025 i lp=55</v>
      </c>
      <c r="R58" s="16" t="str">
        <f t="shared" si="10"/>
        <v>rokprognozy=2026 i lp=55</v>
      </c>
      <c r="S58" s="16" t="str">
        <f t="shared" si="10"/>
        <v>rokprognozy=2027 i lp=55</v>
      </c>
      <c r="T58" s="16" t="str">
        <f t="shared" si="10"/>
        <v>rokprognozy=2028 i lp=55</v>
      </c>
      <c r="U58" s="16" t="str">
        <f t="shared" si="10"/>
        <v>rokprognozy=2029 i lp=55</v>
      </c>
      <c r="V58" s="16" t="str">
        <f t="shared" si="10"/>
        <v>rokprognozy=2030 i lp=55</v>
      </c>
      <c r="W58" s="16" t="str">
        <f t="shared" si="10"/>
        <v>rokprognozy=2031 i lp=55</v>
      </c>
      <c r="X58" s="16" t="str">
        <f t="shared" si="10"/>
        <v>rokprognozy=2032 i lp=55</v>
      </c>
      <c r="Y58" s="16" t="str">
        <f t="shared" si="10"/>
        <v>rokprognozy=2033 i lp=55</v>
      </c>
      <c r="Z58" s="16" t="str">
        <f t="shared" si="10"/>
        <v>rokprognozy=2034 i lp=55</v>
      </c>
      <c r="AA58" s="16" t="str">
        <f t="shared" si="10"/>
        <v>rokprognozy=2035 i lp=55</v>
      </c>
      <c r="AB58" s="16" t="str">
        <f t="shared" si="10"/>
        <v>rokprognozy=2036 i lp=55</v>
      </c>
      <c r="AC58" s="16" t="str">
        <f t="shared" si="12"/>
        <v>rokprognozy=2037 i lp=55</v>
      </c>
      <c r="AD58" s="16" t="str">
        <f t="shared" si="12"/>
        <v>rokprognozy=2038 i lp=55</v>
      </c>
      <c r="AE58" s="16" t="str">
        <f t="shared" si="12"/>
        <v>rokprognozy=2039 i lp=55</v>
      </c>
      <c r="AF58" s="16" t="str">
        <f t="shared" si="12"/>
        <v>rokprognozy=2040 i lp=55</v>
      </c>
      <c r="AG58" s="16" t="str">
        <f t="shared" si="12"/>
        <v>rokprognozy=2041 i lp=55</v>
      </c>
      <c r="AH58" s="16" t="str">
        <f t="shared" si="12"/>
        <v>rokprognozy=2042 i lp=55</v>
      </c>
      <c r="AI58" s="16" t="str">
        <f t="shared" si="12"/>
        <v>rokprognozy=2043 i lp=55</v>
      </c>
      <c r="AJ58" s="16" t="str">
        <f t="shared" si="12"/>
        <v>rokprognozy=2044 i lp=55</v>
      </c>
      <c r="AK58" s="16" t="str">
        <f t="shared" si="12"/>
        <v>rokprognozy=2045 i lp=55</v>
      </c>
      <c r="AL58" s="16" t="str">
        <f t="shared" si="12"/>
        <v>rokprognozy=2046 i lp=55</v>
      </c>
      <c r="AM58" s="16" t="str">
        <f t="shared" si="12"/>
        <v>rokprognozy=2047 i lp=55</v>
      </c>
      <c r="AN58" s="16" t="str">
        <f t="shared" si="12"/>
        <v>rokprognozy=2048 i lp=55</v>
      </c>
      <c r="AO58" s="16" t="str">
        <f t="shared" si="12"/>
        <v>rokprognozy=2049 i lp=55</v>
      </c>
      <c r="AP58" s="16" t="str">
        <f t="shared" si="12"/>
        <v>rokprognozy=2050 i lp=55</v>
      </c>
    </row>
    <row r="59" spans="1:42">
      <c r="A59" s="6">
        <v>56</v>
      </c>
      <c r="B59" s="17">
        <v>29</v>
      </c>
      <c r="C59" s="19" t="s">
        <v>91</v>
      </c>
      <c r="D59" s="15" t="str">
        <f t="shared" si="9"/>
        <v>rokprognozy=2012 i lp=56</v>
      </c>
      <c r="E59" s="15" t="str">
        <f t="shared" si="9"/>
        <v>rokprognozy=2013 i lp=56</v>
      </c>
      <c r="F59" s="16" t="str">
        <f t="shared" si="9"/>
        <v>rokprognozy=2014 i lp=56</v>
      </c>
      <c r="G59" s="16" t="str">
        <f t="shared" si="9"/>
        <v>rokprognozy=2015 i lp=56</v>
      </c>
      <c r="H59" s="16" t="str">
        <f t="shared" si="9"/>
        <v>rokprognozy=2016 i lp=56</v>
      </c>
      <c r="I59" s="16" t="str">
        <f t="shared" si="9"/>
        <v>rokprognozy=2017 i lp=56</v>
      </c>
      <c r="J59" s="16" t="str">
        <f t="shared" si="9"/>
        <v>rokprognozy=2018 i lp=56</v>
      </c>
      <c r="K59" s="16" t="str">
        <f t="shared" si="9"/>
        <v>rokprognozy=2019 i lp=56</v>
      </c>
      <c r="L59" s="16" t="str">
        <f t="shared" si="9"/>
        <v>rokprognozy=2020 i lp=56</v>
      </c>
      <c r="M59" s="16" t="str">
        <f t="shared" si="10"/>
        <v>rokprognozy=2021 i lp=56</v>
      </c>
      <c r="N59" s="16" t="str">
        <f t="shared" si="10"/>
        <v>rokprognozy=2022 i lp=56</v>
      </c>
      <c r="O59" s="16" t="str">
        <f t="shared" si="10"/>
        <v>rokprognozy=2023 i lp=56</v>
      </c>
      <c r="P59" s="16" t="str">
        <f t="shared" si="10"/>
        <v>rokprognozy=2024 i lp=56</v>
      </c>
      <c r="Q59" s="16" t="str">
        <f t="shared" si="10"/>
        <v>rokprognozy=2025 i lp=56</v>
      </c>
      <c r="R59" s="16" t="str">
        <f t="shared" si="10"/>
        <v>rokprognozy=2026 i lp=56</v>
      </c>
      <c r="S59" s="16" t="str">
        <f t="shared" si="10"/>
        <v>rokprognozy=2027 i lp=56</v>
      </c>
      <c r="T59" s="16" t="str">
        <f t="shared" si="10"/>
        <v>rokprognozy=2028 i lp=56</v>
      </c>
      <c r="U59" s="16" t="str">
        <f t="shared" si="10"/>
        <v>rokprognozy=2029 i lp=56</v>
      </c>
      <c r="V59" s="16" t="str">
        <f t="shared" si="10"/>
        <v>rokprognozy=2030 i lp=56</v>
      </c>
      <c r="W59" s="16" t="str">
        <f t="shared" si="10"/>
        <v>rokprognozy=2031 i lp=56</v>
      </c>
      <c r="X59" s="16" t="str">
        <f t="shared" si="10"/>
        <v>rokprognozy=2032 i lp=56</v>
      </c>
      <c r="Y59" s="16" t="str">
        <f t="shared" si="10"/>
        <v>rokprognozy=2033 i lp=56</v>
      </c>
      <c r="Z59" s="16" t="str">
        <f t="shared" si="10"/>
        <v>rokprognozy=2034 i lp=56</v>
      </c>
      <c r="AA59" s="16" t="str">
        <f t="shared" si="10"/>
        <v>rokprognozy=2035 i lp=56</v>
      </c>
      <c r="AB59" s="16" t="str">
        <f t="shared" si="10"/>
        <v>rokprognozy=2036 i lp=56</v>
      </c>
      <c r="AC59" s="16" t="str">
        <f t="shared" si="12"/>
        <v>rokprognozy=2037 i lp=56</v>
      </c>
      <c r="AD59" s="16" t="str">
        <f t="shared" si="12"/>
        <v>rokprognozy=2038 i lp=56</v>
      </c>
      <c r="AE59" s="16" t="str">
        <f t="shared" si="12"/>
        <v>rokprognozy=2039 i lp=56</v>
      </c>
      <c r="AF59" s="16" t="str">
        <f t="shared" si="12"/>
        <v>rokprognozy=2040 i lp=56</v>
      </c>
      <c r="AG59" s="16" t="str">
        <f t="shared" si="12"/>
        <v>rokprognozy=2041 i lp=56</v>
      </c>
      <c r="AH59" s="16" t="str">
        <f t="shared" si="12"/>
        <v>rokprognozy=2042 i lp=56</v>
      </c>
      <c r="AI59" s="16" t="str">
        <f t="shared" si="12"/>
        <v>rokprognozy=2043 i lp=56</v>
      </c>
      <c r="AJ59" s="16" t="str">
        <f t="shared" si="12"/>
        <v>rokprognozy=2044 i lp=56</v>
      </c>
      <c r="AK59" s="16" t="str">
        <f t="shared" si="12"/>
        <v>rokprognozy=2045 i lp=56</v>
      </c>
      <c r="AL59" s="16" t="str">
        <f t="shared" si="12"/>
        <v>rokprognozy=2046 i lp=56</v>
      </c>
      <c r="AM59" s="16" t="str">
        <f t="shared" si="12"/>
        <v>rokprognozy=2047 i lp=56</v>
      </c>
      <c r="AN59" s="16" t="str">
        <f t="shared" si="12"/>
        <v>rokprognozy=2048 i lp=56</v>
      </c>
      <c r="AO59" s="16" t="str">
        <f t="shared" si="12"/>
        <v>rokprognozy=2049 i lp=56</v>
      </c>
      <c r="AP59" s="16" t="str">
        <f t="shared" si="12"/>
        <v>rokprognozy=2050 i lp=56</v>
      </c>
    </row>
    <row r="60" spans="1:42">
      <c r="A60" s="6">
        <v>57</v>
      </c>
      <c r="B60" s="17">
        <v>30</v>
      </c>
      <c r="C60" s="19" t="s">
        <v>92</v>
      </c>
      <c r="D60" s="15" t="str">
        <f t="shared" si="9"/>
        <v>rokprognozy=2012 i lp=57</v>
      </c>
      <c r="E60" s="15" t="str">
        <f t="shared" si="9"/>
        <v>rokprognozy=2013 i lp=57</v>
      </c>
      <c r="F60" s="16" t="str">
        <f t="shared" si="9"/>
        <v>rokprognozy=2014 i lp=57</v>
      </c>
      <c r="G60" s="16" t="str">
        <f t="shared" si="9"/>
        <v>rokprognozy=2015 i lp=57</v>
      </c>
      <c r="H60" s="16" t="str">
        <f t="shared" si="9"/>
        <v>rokprognozy=2016 i lp=57</v>
      </c>
      <c r="I60" s="16" t="str">
        <f t="shared" si="9"/>
        <v>rokprognozy=2017 i lp=57</v>
      </c>
      <c r="J60" s="16" t="str">
        <f t="shared" si="9"/>
        <v>rokprognozy=2018 i lp=57</v>
      </c>
      <c r="K60" s="16" t="str">
        <f t="shared" si="9"/>
        <v>rokprognozy=2019 i lp=57</v>
      </c>
      <c r="L60" s="16" t="str">
        <f t="shared" si="9"/>
        <v>rokprognozy=2020 i lp=57</v>
      </c>
      <c r="M60" s="16" t="str">
        <f t="shared" si="10"/>
        <v>rokprognozy=2021 i lp=57</v>
      </c>
      <c r="N60" s="16" t="str">
        <f t="shared" si="10"/>
        <v>rokprognozy=2022 i lp=57</v>
      </c>
      <c r="O60" s="16" t="str">
        <f t="shared" si="10"/>
        <v>rokprognozy=2023 i lp=57</v>
      </c>
      <c r="P60" s="16" t="str">
        <f t="shared" si="10"/>
        <v>rokprognozy=2024 i lp=57</v>
      </c>
      <c r="Q60" s="16" t="str">
        <f t="shared" si="10"/>
        <v>rokprognozy=2025 i lp=57</v>
      </c>
      <c r="R60" s="16" t="str">
        <f t="shared" si="10"/>
        <v>rokprognozy=2026 i lp=57</v>
      </c>
      <c r="S60" s="16" t="str">
        <f t="shared" si="10"/>
        <v>rokprognozy=2027 i lp=57</v>
      </c>
      <c r="T60" s="16" t="str">
        <f t="shared" si="10"/>
        <v>rokprognozy=2028 i lp=57</v>
      </c>
      <c r="U60" s="16" t="str">
        <f t="shared" si="10"/>
        <v>rokprognozy=2029 i lp=57</v>
      </c>
      <c r="V60" s="16" t="str">
        <f t="shared" si="10"/>
        <v>rokprognozy=2030 i lp=57</v>
      </c>
      <c r="W60" s="16" t="str">
        <f t="shared" si="10"/>
        <v>rokprognozy=2031 i lp=57</v>
      </c>
      <c r="X60" s="16" t="str">
        <f t="shared" si="10"/>
        <v>rokprognozy=2032 i lp=57</v>
      </c>
      <c r="Y60" s="16" t="str">
        <f t="shared" si="10"/>
        <v>rokprognozy=2033 i lp=57</v>
      </c>
      <c r="Z60" s="16" t="str">
        <f t="shared" si="10"/>
        <v>rokprognozy=2034 i lp=57</v>
      </c>
      <c r="AA60" s="16" t="str">
        <f t="shared" si="10"/>
        <v>rokprognozy=2035 i lp=57</v>
      </c>
      <c r="AB60" s="16" t="str">
        <f t="shared" si="10"/>
        <v>rokprognozy=2036 i lp=57</v>
      </c>
      <c r="AC60" s="16" t="str">
        <f t="shared" si="12"/>
        <v>rokprognozy=2037 i lp=57</v>
      </c>
      <c r="AD60" s="16" t="str">
        <f t="shared" si="12"/>
        <v>rokprognozy=2038 i lp=57</v>
      </c>
      <c r="AE60" s="16" t="str">
        <f t="shared" si="12"/>
        <v>rokprognozy=2039 i lp=57</v>
      </c>
      <c r="AF60" s="16" t="str">
        <f t="shared" si="12"/>
        <v>rokprognozy=2040 i lp=57</v>
      </c>
      <c r="AG60" s="16" t="str">
        <f t="shared" si="12"/>
        <v>rokprognozy=2041 i lp=57</v>
      </c>
      <c r="AH60" s="16" t="str">
        <f t="shared" si="12"/>
        <v>rokprognozy=2042 i lp=57</v>
      </c>
      <c r="AI60" s="16" t="str">
        <f t="shared" si="12"/>
        <v>rokprognozy=2043 i lp=57</v>
      </c>
      <c r="AJ60" s="16" t="str">
        <f t="shared" si="12"/>
        <v>rokprognozy=2044 i lp=57</v>
      </c>
      <c r="AK60" s="16" t="str">
        <f t="shared" si="12"/>
        <v>rokprognozy=2045 i lp=57</v>
      </c>
      <c r="AL60" s="16" t="str">
        <f t="shared" si="12"/>
        <v>rokprognozy=2046 i lp=57</v>
      </c>
      <c r="AM60" s="16" t="str">
        <f t="shared" si="12"/>
        <v>rokprognozy=2047 i lp=57</v>
      </c>
      <c r="AN60" s="16" t="str">
        <f t="shared" si="12"/>
        <v>rokprognozy=2048 i lp=57</v>
      </c>
      <c r="AO60" s="16" t="str">
        <f t="shared" si="12"/>
        <v>rokprognozy=2049 i lp=57</v>
      </c>
      <c r="AP60" s="16" t="str">
        <f t="shared" si="12"/>
        <v>rokprognozy=2050 i lp=57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6"/>
  <sheetViews>
    <sheetView topLeftCell="C34" workbookViewId="0">
      <selection activeCell="E11" sqref="E11"/>
    </sheetView>
  </sheetViews>
  <sheetFormatPr defaultRowHeight="14.25"/>
  <cols>
    <col min="1" max="1" width="3.625" style="139" customWidth="1"/>
    <col min="2" max="2" width="45.625" style="139" customWidth="1"/>
    <col min="3" max="9" width="11.625" style="139" customWidth="1"/>
    <col min="10" max="10" width="3.625" style="139" customWidth="1"/>
    <col min="11" max="11" width="45.625" style="139" customWidth="1"/>
    <col min="12" max="18" width="11.625" style="139" customWidth="1"/>
    <col min="19" max="19" width="3.625" style="139" customWidth="1"/>
    <col min="20" max="20" width="45.625" style="139" customWidth="1"/>
    <col min="21" max="27" width="11.625" style="139" customWidth="1"/>
    <col min="28" max="28" width="3.625" style="139" customWidth="1"/>
    <col min="29" max="29" width="45.625" style="139" customWidth="1"/>
    <col min="30" max="36" width="11.625" style="139" customWidth="1"/>
    <col min="37" max="37" width="3.625" style="139" customWidth="1"/>
    <col min="38" max="38" width="45.625" style="139" customWidth="1"/>
    <col min="39" max="45" width="11.625" style="139" customWidth="1"/>
    <col min="46" max="46" width="3.625" style="139" customWidth="1"/>
    <col min="47" max="47" width="46.125" style="139" customWidth="1"/>
    <col min="48" max="50" width="11.625" style="139" customWidth="1"/>
    <col min="51" max="16384" width="9" style="139"/>
  </cols>
  <sheetData>
    <row r="1" spans="1:50">
      <c r="A1" s="309" t="s">
        <v>143</v>
      </c>
      <c r="B1" s="310"/>
      <c r="C1" s="311"/>
      <c r="I1" s="312" t="s">
        <v>269</v>
      </c>
    </row>
    <row r="2" spans="1:50" ht="15">
      <c r="A2" s="313"/>
      <c r="B2" s="313"/>
      <c r="C2" s="314"/>
      <c r="I2" s="312" t="s">
        <v>256</v>
      </c>
      <c r="J2" s="315"/>
      <c r="S2" s="315"/>
      <c r="AB2" s="315"/>
      <c r="AK2" s="315"/>
      <c r="AT2" s="315"/>
    </row>
    <row r="3" spans="1:50" ht="12" customHeight="1">
      <c r="A3" s="185" t="s">
        <v>0</v>
      </c>
      <c r="B3" s="186" t="s">
        <v>1</v>
      </c>
      <c r="C3" s="187" t="s">
        <v>104</v>
      </c>
      <c r="D3" s="187" t="s">
        <v>105</v>
      </c>
      <c r="E3" s="187" t="s">
        <v>106</v>
      </c>
      <c r="F3" s="187" t="s">
        <v>234</v>
      </c>
      <c r="G3" s="187" t="s">
        <v>109</v>
      </c>
      <c r="H3" s="187" t="s">
        <v>110</v>
      </c>
      <c r="I3" s="187" t="s">
        <v>111</v>
      </c>
      <c r="J3" s="185" t="s">
        <v>0</v>
      </c>
      <c r="K3" s="186" t="s">
        <v>1</v>
      </c>
      <c r="L3" s="187" t="s">
        <v>112</v>
      </c>
      <c r="M3" s="187" t="s">
        <v>113</v>
      </c>
      <c r="N3" s="187" t="s">
        <v>114</v>
      </c>
      <c r="O3" s="187" t="s">
        <v>115</v>
      </c>
      <c r="P3" s="187" t="s">
        <v>116</v>
      </c>
      <c r="Q3" s="187" t="s">
        <v>117</v>
      </c>
      <c r="R3" s="187" t="s">
        <v>118</v>
      </c>
      <c r="S3" s="185" t="s">
        <v>0</v>
      </c>
      <c r="T3" s="186" t="s">
        <v>1</v>
      </c>
      <c r="U3" s="187" t="s">
        <v>119</v>
      </c>
      <c r="V3" s="187" t="s">
        <v>120</v>
      </c>
      <c r="W3" s="187" t="s">
        <v>121</v>
      </c>
      <c r="X3" s="187" t="s">
        <v>122</v>
      </c>
      <c r="Y3" s="187" t="s">
        <v>123</v>
      </c>
      <c r="Z3" s="187" t="s">
        <v>124</v>
      </c>
      <c r="AA3" s="187" t="s">
        <v>125</v>
      </c>
      <c r="AB3" s="185" t="s">
        <v>0</v>
      </c>
      <c r="AC3" s="186" t="s">
        <v>1</v>
      </c>
      <c r="AD3" s="187" t="s">
        <v>126</v>
      </c>
      <c r="AE3" s="187" t="s">
        <v>127</v>
      </c>
      <c r="AF3" s="187" t="s">
        <v>128</v>
      </c>
      <c r="AG3" s="187" t="s">
        <v>129</v>
      </c>
      <c r="AH3" s="187" t="s">
        <v>130</v>
      </c>
      <c r="AI3" s="187" t="s">
        <v>131</v>
      </c>
      <c r="AJ3" s="187" t="s">
        <v>132</v>
      </c>
      <c r="AK3" s="185" t="s">
        <v>0</v>
      </c>
      <c r="AL3" s="186" t="s">
        <v>1</v>
      </c>
      <c r="AM3" s="187" t="s">
        <v>133</v>
      </c>
      <c r="AN3" s="187" t="s">
        <v>134</v>
      </c>
      <c r="AO3" s="187" t="s">
        <v>135</v>
      </c>
      <c r="AP3" s="187" t="s">
        <v>136</v>
      </c>
      <c r="AQ3" s="187" t="s">
        <v>137</v>
      </c>
      <c r="AR3" s="187" t="s">
        <v>138</v>
      </c>
      <c r="AS3" s="187" t="s">
        <v>139</v>
      </c>
      <c r="AT3" s="185" t="s">
        <v>0</v>
      </c>
      <c r="AU3" s="186" t="s">
        <v>1</v>
      </c>
      <c r="AV3" s="187" t="s">
        <v>140</v>
      </c>
      <c r="AW3" s="187" t="s">
        <v>141</v>
      </c>
      <c r="AX3" s="187" t="s">
        <v>142</v>
      </c>
    </row>
    <row r="4" spans="1:50" ht="12" customHeight="1">
      <c r="A4" s="124">
        <v>1</v>
      </c>
      <c r="B4" s="125" t="s">
        <v>32</v>
      </c>
      <c r="C4" s="113">
        <f>SUM(C5,C7)</f>
        <v>41218449.119999997</v>
      </c>
      <c r="D4" s="113">
        <f t="shared" ref="D4:I4" si="0">SUM(D5,D7)</f>
        <v>42724589.049999997</v>
      </c>
      <c r="E4" s="113">
        <f t="shared" si="0"/>
        <v>93634998</v>
      </c>
      <c r="F4" s="113">
        <f t="shared" si="0"/>
        <v>44243768.019999996</v>
      </c>
      <c r="G4" s="113">
        <f t="shared" si="0"/>
        <v>68983527.5</v>
      </c>
      <c r="H4" s="113">
        <f t="shared" si="0"/>
        <v>55300000</v>
      </c>
      <c r="I4" s="113">
        <f t="shared" si="0"/>
        <v>52554110</v>
      </c>
      <c r="J4" s="124">
        <v>1</v>
      </c>
      <c r="K4" s="125" t="s">
        <v>32</v>
      </c>
      <c r="L4" s="113">
        <f t="shared" ref="L4:R4" si="1">SUM(L5,L7)</f>
        <v>51334345</v>
      </c>
      <c r="M4" s="113">
        <f t="shared" si="1"/>
        <v>52753227</v>
      </c>
      <c r="N4" s="113">
        <f t="shared" si="1"/>
        <v>53955558</v>
      </c>
      <c r="O4" s="113">
        <f t="shared" si="1"/>
        <v>55237051</v>
      </c>
      <c r="P4" s="113">
        <f t="shared" si="1"/>
        <v>56549300</v>
      </c>
      <c r="Q4" s="113">
        <f t="shared" si="1"/>
        <v>57893043</v>
      </c>
      <c r="R4" s="113">
        <f t="shared" si="1"/>
        <v>59269036</v>
      </c>
      <c r="S4" s="124">
        <v>1</v>
      </c>
      <c r="T4" s="125" t="s">
        <v>32</v>
      </c>
      <c r="U4" s="113">
        <f t="shared" ref="U4:AA4" si="2">SUM(U5,U7)</f>
        <v>60678053</v>
      </c>
      <c r="V4" s="113">
        <f t="shared" si="2"/>
        <v>62060768</v>
      </c>
      <c r="W4" s="113">
        <f t="shared" si="2"/>
        <v>63475286</v>
      </c>
      <c r="X4" s="113">
        <f t="shared" si="2"/>
        <v>64922338</v>
      </c>
      <c r="Y4" s="113">
        <f t="shared" si="2"/>
        <v>66402672</v>
      </c>
      <c r="Z4" s="113">
        <f t="shared" si="2"/>
        <v>67917053</v>
      </c>
      <c r="AA4" s="113">
        <f t="shared" si="2"/>
        <v>69398908</v>
      </c>
      <c r="AB4" s="124">
        <v>1</v>
      </c>
      <c r="AC4" s="125" t="s">
        <v>32</v>
      </c>
      <c r="AD4" s="113">
        <f t="shared" ref="AD4:AJ4" si="3">SUM(AD5,AD7)</f>
        <v>70913364</v>
      </c>
      <c r="AE4" s="113">
        <f t="shared" si="3"/>
        <v>72461138</v>
      </c>
      <c r="AF4" s="113">
        <f t="shared" si="3"/>
        <v>74042963</v>
      </c>
      <c r="AG4" s="113">
        <f t="shared" si="3"/>
        <v>75659588</v>
      </c>
      <c r="AH4" s="113">
        <f t="shared" si="3"/>
        <v>77236679</v>
      </c>
      <c r="AI4" s="113">
        <f t="shared" si="3"/>
        <v>78846889</v>
      </c>
      <c r="AJ4" s="113">
        <f t="shared" si="3"/>
        <v>80490914</v>
      </c>
      <c r="AK4" s="124">
        <v>1</v>
      </c>
      <c r="AL4" s="125" t="s">
        <v>32</v>
      </c>
      <c r="AM4" s="113">
        <f t="shared" ref="AM4:AS4" si="4">SUM(AM5,AM7)</f>
        <v>82169463</v>
      </c>
      <c r="AN4" s="113">
        <f t="shared" si="4"/>
        <v>83883262</v>
      </c>
      <c r="AO4" s="113">
        <f t="shared" si="4"/>
        <v>85549727</v>
      </c>
      <c r="AP4" s="113">
        <f t="shared" si="4"/>
        <v>87249522</v>
      </c>
      <c r="AQ4" s="113">
        <f t="shared" si="4"/>
        <v>88983312</v>
      </c>
      <c r="AR4" s="113">
        <f t="shared" si="4"/>
        <v>90751778</v>
      </c>
      <c r="AS4" s="113">
        <f t="shared" si="4"/>
        <v>92555614</v>
      </c>
      <c r="AT4" s="124">
        <v>1</v>
      </c>
      <c r="AU4" s="125" t="s">
        <v>32</v>
      </c>
      <c r="AV4" s="113">
        <f t="shared" ref="AV4:AX4" si="5">SUM(AV5,AV7)</f>
        <v>94395526</v>
      </c>
      <c r="AW4" s="113">
        <f t="shared" si="5"/>
        <v>96272237</v>
      </c>
      <c r="AX4" s="113">
        <f t="shared" si="5"/>
        <v>98186482</v>
      </c>
    </row>
    <row r="5" spans="1:50" ht="12" customHeight="1">
      <c r="A5" s="130" t="s">
        <v>33</v>
      </c>
      <c r="B5" s="118" t="s">
        <v>34</v>
      </c>
      <c r="C5" s="114">
        <v>39058943.439999998</v>
      </c>
      <c r="D5" s="114">
        <v>40095561.079999998</v>
      </c>
      <c r="E5" s="114">
        <v>43396443</v>
      </c>
      <c r="F5" s="114">
        <v>43619757.509999998</v>
      </c>
      <c r="G5" s="114">
        <v>45687012.5</v>
      </c>
      <c r="H5" s="114">
        <f>48000000</f>
        <v>48000000</v>
      </c>
      <c r="I5" s="114">
        <f>49854110</f>
        <v>49854110</v>
      </c>
      <c r="J5" s="130" t="s">
        <v>33</v>
      </c>
      <c r="K5" s="118" t="s">
        <v>34</v>
      </c>
      <c r="L5" s="114">
        <f>51234345</f>
        <v>51234345</v>
      </c>
      <c r="M5" s="114">
        <f>52653227</f>
        <v>52653227</v>
      </c>
      <c r="N5" s="114">
        <f>53955558</f>
        <v>53955558</v>
      </c>
      <c r="O5" s="114">
        <f>55237051</f>
        <v>55237051</v>
      </c>
      <c r="P5" s="114">
        <f>56549300</f>
        <v>56549300</v>
      </c>
      <c r="Q5" s="114">
        <f>57893043</f>
        <v>57893043</v>
      </c>
      <c r="R5" s="114">
        <f>59269036</f>
        <v>59269036</v>
      </c>
      <c r="S5" s="130" t="s">
        <v>33</v>
      </c>
      <c r="T5" s="118" t="s">
        <v>34</v>
      </c>
      <c r="U5" s="114">
        <f>60678053</f>
        <v>60678053</v>
      </c>
      <c r="V5" s="114">
        <f>62060768</f>
        <v>62060768</v>
      </c>
      <c r="W5" s="114">
        <f>63475286</f>
        <v>63475286</v>
      </c>
      <c r="X5" s="114">
        <f>64922338</f>
        <v>64922338</v>
      </c>
      <c r="Y5" s="114">
        <f>66402672</f>
        <v>66402672</v>
      </c>
      <c r="Z5" s="114">
        <f>67917053</f>
        <v>67917053</v>
      </c>
      <c r="AA5" s="114">
        <f>69398908</f>
        <v>69398908</v>
      </c>
      <c r="AB5" s="130" t="s">
        <v>33</v>
      </c>
      <c r="AC5" s="118" t="s">
        <v>34</v>
      </c>
      <c r="AD5" s="114">
        <f>70913364</f>
        <v>70913364</v>
      </c>
      <c r="AE5" s="114">
        <f>72461138</f>
        <v>72461138</v>
      </c>
      <c r="AF5" s="114">
        <f>74042963</f>
        <v>74042963</v>
      </c>
      <c r="AG5" s="114">
        <f>75659588</f>
        <v>75659588</v>
      </c>
      <c r="AH5" s="114">
        <f>77236679</f>
        <v>77236679</v>
      </c>
      <c r="AI5" s="114">
        <f>78846889</f>
        <v>78846889</v>
      </c>
      <c r="AJ5" s="114">
        <f>80490914</f>
        <v>80490914</v>
      </c>
      <c r="AK5" s="130" t="s">
        <v>33</v>
      </c>
      <c r="AL5" s="118" t="s">
        <v>34</v>
      </c>
      <c r="AM5" s="114">
        <f>82169463</f>
        <v>82169463</v>
      </c>
      <c r="AN5" s="114">
        <f>83883262</f>
        <v>83883262</v>
      </c>
      <c r="AO5" s="114">
        <f>85549727</f>
        <v>85549727</v>
      </c>
      <c r="AP5" s="114">
        <f>87249522</f>
        <v>87249522</v>
      </c>
      <c r="AQ5" s="114">
        <f>88983312</f>
        <v>88983312</v>
      </c>
      <c r="AR5" s="114">
        <f>90751778</f>
        <v>90751778</v>
      </c>
      <c r="AS5" s="114">
        <f>92555614</f>
        <v>92555614</v>
      </c>
      <c r="AT5" s="130" t="s">
        <v>33</v>
      </c>
      <c r="AU5" s="118" t="s">
        <v>34</v>
      </c>
      <c r="AV5" s="114">
        <f>94395526</f>
        <v>94395526</v>
      </c>
      <c r="AW5" s="114">
        <f>96272237</f>
        <v>96272237</v>
      </c>
      <c r="AX5" s="114">
        <f>98186482</f>
        <v>98186482</v>
      </c>
    </row>
    <row r="6" spans="1:50" ht="12" customHeight="1">
      <c r="A6" s="130" t="s">
        <v>35</v>
      </c>
      <c r="B6" s="116" t="s">
        <v>254</v>
      </c>
      <c r="C6" s="114">
        <v>148801.85</v>
      </c>
      <c r="D6" s="114">
        <v>205390.09</v>
      </c>
      <c r="E6" s="114">
        <v>233889</v>
      </c>
      <c r="F6" s="114">
        <v>254771.75</v>
      </c>
      <c r="G6" s="114">
        <v>372827</v>
      </c>
      <c r="H6" s="114">
        <v>248820</v>
      </c>
      <c r="I6" s="114">
        <v>116350</v>
      </c>
      <c r="J6" s="130" t="s">
        <v>35</v>
      </c>
      <c r="K6" s="116" t="s">
        <v>27</v>
      </c>
      <c r="L6" s="114">
        <f>0</f>
        <v>0</v>
      </c>
      <c r="M6" s="114">
        <f>0</f>
        <v>0</v>
      </c>
      <c r="N6" s="114">
        <f>0</f>
        <v>0</v>
      </c>
      <c r="O6" s="114">
        <f>0</f>
        <v>0</v>
      </c>
      <c r="P6" s="114">
        <f>0</f>
        <v>0</v>
      </c>
      <c r="Q6" s="114">
        <f>0</f>
        <v>0</v>
      </c>
      <c r="R6" s="114">
        <f>0</f>
        <v>0</v>
      </c>
      <c r="S6" s="130" t="s">
        <v>35</v>
      </c>
      <c r="T6" s="116" t="s">
        <v>27</v>
      </c>
      <c r="U6" s="114">
        <f>0</f>
        <v>0</v>
      </c>
      <c r="V6" s="114">
        <f>0</f>
        <v>0</v>
      </c>
      <c r="W6" s="114">
        <f>0</f>
        <v>0</v>
      </c>
      <c r="X6" s="114">
        <f>0</f>
        <v>0</v>
      </c>
      <c r="Y6" s="114">
        <f>0</f>
        <v>0</v>
      </c>
      <c r="Z6" s="114">
        <f>0</f>
        <v>0</v>
      </c>
      <c r="AA6" s="114">
        <f>0</f>
        <v>0</v>
      </c>
      <c r="AB6" s="130" t="s">
        <v>35</v>
      </c>
      <c r="AC6" s="116" t="s">
        <v>27</v>
      </c>
      <c r="AD6" s="114">
        <f>0</f>
        <v>0</v>
      </c>
      <c r="AE6" s="114">
        <f>0</f>
        <v>0</v>
      </c>
      <c r="AF6" s="114">
        <f>0</f>
        <v>0</v>
      </c>
      <c r="AG6" s="114">
        <f>0</f>
        <v>0</v>
      </c>
      <c r="AH6" s="114">
        <f>0</f>
        <v>0</v>
      </c>
      <c r="AI6" s="114">
        <f>0</f>
        <v>0</v>
      </c>
      <c r="AJ6" s="114">
        <f>0</f>
        <v>0</v>
      </c>
      <c r="AK6" s="130" t="s">
        <v>35</v>
      </c>
      <c r="AL6" s="116" t="s">
        <v>27</v>
      </c>
      <c r="AM6" s="114">
        <f>0</f>
        <v>0</v>
      </c>
      <c r="AN6" s="114">
        <f>0</f>
        <v>0</v>
      </c>
      <c r="AO6" s="114">
        <f>0</f>
        <v>0</v>
      </c>
      <c r="AP6" s="114">
        <f>0</f>
        <v>0</v>
      </c>
      <c r="AQ6" s="114">
        <f>0</f>
        <v>0</v>
      </c>
      <c r="AR6" s="114">
        <f>0</f>
        <v>0</v>
      </c>
      <c r="AS6" s="114">
        <f>0</f>
        <v>0</v>
      </c>
      <c r="AT6" s="130" t="s">
        <v>35</v>
      </c>
      <c r="AU6" s="116" t="s">
        <v>27</v>
      </c>
      <c r="AV6" s="114">
        <f>0</f>
        <v>0</v>
      </c>
      <c r="AW6" s="114">
        <f>0</f>
        <v>0</v>
      </c>
      <c r="AX6" s="114">
        <f>0</f>
        <v>0</v>
      </c>
    </row>
    <row r="7" spans="1:50" ht="12" customHeight="1">
      <c r="A7" s="130" t="s">
        <v>37</v>
      </c>
      <c r="B7" s="188" t="s">
        <v>38</v>
      </c>
      <c r="C7" s="114">
        <v>2159505.6800000002</v>
      </c>
      <c r="D7" s="114">
        <v>2629027.9700000002</v>
      </c>
      <c r="E7" s="114">
        <v>50238555</v>
      </c>
      <c r="F7" s="114">
        <v>624010.51</v>
      </c>
      <c r="G7" s="114">
        <v>23296515</v>
      </c>
      <c r="H7" s="114">
        <f>7300000</f>
        <v>7300000</v>
      </c>
      <c r="I7" s="114">
        <f>2700000</f>
        <v>2700000</v>
      </c>
      <c r="J7" s="130" t="s">
        <v>37</v>
      </c>
      <c r="K7" s="188" t="s">
        <v>38</v>
      </c>
      <c r="L7" s="114">
        <f>100000</f>
        <v>100000</v>
      </c>
      <c r="M7" s="114">
        <f>100000</f>
        <v>100000</v>
      </c>
      <c r="N7" s="114">
        <f>0</f>
        <v>0</v>
      </c>
      <c r="O7" s="114">
        <f>0</f>
        <v>0</v>
      </c>
      <c r="P7" s="114">
        <f>0</f>
        <v>0</v>
      </c>
      <c r="Q7" s="114">
        <f>0</f>
        <v>0</v>
      </c>
      <c r="R7" s="114">
        <f>0</f>
        <v>0</v>
      </c>
      <c r="S7" s="130" t="s">
        <v>37</v>
      </c>
      <c r="T7" s="188" t="s">
        <v>38</v>
      </c>
      <c r="U7" s="114">
        <f>0</f>
        <v>0</v>
      </c>
      <c r="V7" s="114">
        <f>0</f>
        <v>0</v>
      </c>
      <c r="W7" s="114">
        <f>0</f>
        <v>0</v>
      </c>
      <c r="X7" s="114">
        <f>0</f>
        <v>0</v>
      </c>
      <c r="Y7" s="114">
        <f>0</f>
        <v>0</v>
      </c>
      <c r="Z7" s="114">
        <f>0</f>
        <v>0</v>
      </c>
      <c r="AA7" s="114">
        <f>0</f>
        <v>0</v>
      </c>
      <c r="AB7" s="130" t="s">
        <v>37</v>
      </c>
      <c r="AC7" s="188" t="s">
        <v>38</v>
      </c>
      <c r="AD7" s="114">
        <f>0</f>
        <v>0</v>
      </c>
      <c r="AE7" s="114">
        <f>0</f>
        <v>0</v>
      </c>
      <c r="AF7" s="114">
        <f>0</f>
        <v>0</v>
      </c>
      <c r="AG7" s="114">
        <f>0</f>
        <v>0</v>
      </c>
      <c r="AH7" s="114">
        <f>0</f>
        <v>0</v>
      </c>
      <c r="AI7" s="114">
        <f>0</f>
        <v>0</v>
      </c>
      <c r="AJ7" s="114">
        <f>0</f>
        <v>0</v>
      </c>
      <c r="AK7" s="130" t="s">
        <v>37</v>
      </c>
      <c r="AL7" s="188" t="s">
        <v>38</v>
      </c>
      <c r="AM7" s="114">
        <f>0</f>
        <v>0</v>
      </c>
      <c r="AN7" s="114">
        <f>0</f>
        <v>0</v>
      </c>
      <c r="AO7" s="114">
        <f>0</f>
        <v>0</v>
      </c>
      <c r="AP7" s="114">
        <f>0</f>
        <v>0</v>
      </c>
      <c r="AQ7" s="114">
        <f>0</f>
        <v>0</v>
      </c>
      <c r="AR7" s="114">
        <f>0</f>
        <v>0</v>
      </c>
      <c r="AS7" s="114">
        <f>0</f>
        <v>0</v>
      </c>
      <c r="AT7" s="130" t="s">
        <v>37</v>
      </c>
      <c r="AU7" s="188" t="s">
        <v>38</v>
      </c>
      <c r="AV7" s="114">
        <f>0</f>
        <v>0</v>
      </c>
      <c r="AW7" s="114">
        <f>0</f>
        <v>0</v>
      </c>
      <c r="AX7" s="114">
        <f>0</f>
        <v>0</v>
      </c>
    </row>
    <row r="8" spans="1:50" ht="12" customHeight="1">
      <c r="A8" s="130" t="s">
        <v>39</v>
      </c>
      <c r="B8" s="116" t="s">
        <v>28</v>
      </c>
      <c r="C8" s="114">
        <v>374934.73</v>
      </c>
      <c r="D8" s="114">
        <v>715074.13</v>
      </c>
      <c r="E8" s="114">
        <v>1605605</v>
      </c>
      <c r="F8" s="114">
        <v>506510.51</v>
      </c>
      <c r="G8" s="114">
        <v>2545000</v>
      </c>
      <c r="H8" s="114">
        <f>3700000</f>
        <v>3700000</v>
      </c>
      <c r="I8" s="114">
        <f>2700000</f>
        <v>2700000</v>
      </c>
      <c r="J8" s="130" t="s">
        <v>39</v>
      </c>
      <c r="K8" s="116" t="s">
        <v>28</v>
      </c>
      <c r="L8" s="114">
        <f>100000</f>
        <v>100000</v>
      </c>
      <c r="M8" s="114">
        <f>100000</f>
        <v>100000</v>
      </c>
      <c r="N8" s="114">
        <f>0</f>
        <v>0</v>
      </c>
      <c r="O8" s="114">
        <f>0</f>
        <v>0</v>
      </c>
      <c r="P8" s="114">
        <f>0</f>
        <v>0</v>
      </c>
      <c r="Q8" s="114">
        <f>0</f>
        <v>0</v>
      </c>
      <c r="R8" s="114">
        <f>0</f>
        <v>0</v>
      </c>
      <c r="S8" s="130" t="s">
        <v>39</v>
      </c>
      <c r="T8" s="116" t="s">
        <v>28</v>
      </c>
      <c r="U8" s="114">
        <f>0</f>
        <v>0</v>
      </c>
      <c r="V8" s="114">
        <f>0</f>
        <v>0</v>
      </c>
      <c r="W8" s="114">
        <f>0</f>
        <v>0</v>
      </c>
      <c r="X8" s="114">
        <f>0</f>
        <v>0</v>
      </c>
      <c r="Y8" s="114">
        <f>0</f>
        <v>0</v>
      </c>
      <c r="Z8" s="114">
        <f>0</f>
        <v>0</v>
      </c>
      <c r="AA8" s="114">
        <f>0</f>
        <v>0</v>
      </c>
      <c r="AB8" s="130" t="s">
        <v>39</v>
      </c>
      <c r="AC8" s="116" t="s">
        <v>28</v>
      </c>
      <c r="AD8" s="114">
        <f>0</f>
        <v>0</v>
      </c>
      <c r="AE8" s="114">
        <f>0</f>
        <v>0</v>
      </c>
      <c r="AF8" s="114">
        <f>0</f>
        <v>0</v>
      </c>
      <c r="AG8" s="114">
        <f>0</f>
        <v>0</v>
      </c>
      <c r="AH8" s="114">
        <f>0</f>
        <v>0</v>
      </c>
      <c r="AI8" s="114">
        <f>0</f>
        <v>0</v>
      </c>
      <c r="AJ8" s="114">
        <f>0</f>
        <v>0</v>
      </c>
      <c r="AK8" s="130" t="s">
        <v>39</v>
      </c>
      <c r="AL8" s="116" t="s">
        <v>28</v>
      </c>
      <c r="AM8" s="114">
        <f>0</f>
        <v>0</v>
      </c>
      <c r="AN8" s="114">
        <f>0</f>
        <v>0</v>
      </c>
      <c r="AO8" s="114">
        <f>0</f>
        <v>0</v>
      </c>
      <c r="AP8" s="114">
        <f>0</f>
        <v>0</v>
      </c>
      <c r="AQ8" s="114">
        <f>0</f>
        <v>0</v>
      </c>
      <c r="AR8" s="114">
        <f>0</f>
        <v>0</v>
      </c>
      <c r="AS8" s="114">
        <f>0</f>
        <v>0</v>
      </c>
      <c r="AT8" s="130" t="s">
        <v>39</v>
      </c>
      <c r="AU8" s="116" t="s">
        <v>28</v>
      </c>
      <c r="AV8" s="114">
        <f>0</f>
        <v>0</v>
      </c>
      <c r="AW8" s="114">
        <f>0</f>
        <v>0</v>
      </c>
      <c r="AX8" s="114">
        <f>0</f>
        <v>0</v>
      </c>
    </row>
    <row r="9" spans="1:50" ht="12" customHeight="1">
      <c r="A9" s="126" t="s">
        <v>41</v>
      </c>
      <c r="B9" s="189" t="s">
        <v>255</v>
      </c>
      <c r="C9" s="115">
        <v>0</v>
      </c>
      <c r="D9" s="115">
        <v>0</v>
      </c>
      <c r="E9" s="115">
        <v>48400000</v>
      </c>
      <c r="F9" s="115">
        <v>0</v>
      </c>
      <c r="G9" s="115">
        <f>20000000</f>
        <v>20000000</v>
      </c>
      <c r="H9" s="115">
        <f>3600000</f>
        <v>3600000</v>
      </c>
      <c r="I9" s="115">
        <f>0</f>
        <v>0</v>
      </c>
      <c r="J9" s="126" t="s">
        <v>41</v>
      </c>
      <c r="K9" s="189" t="s">
        <v>29</v>
      </c>
      <c r="L9" s="115">
        <f>0</f>
        <v>0</v>
      </c>
      <c r="M9" s="115">
        <f>0</f>
        <v>0</v>
      </c>
      <c r="N9" s="115">
        <f>0</f>
        <v>0</v>
      </c>
      <c r="O9" s="115">
        <f>0</f>
        <v>0</v>
      </c>
      <c r="P9" s="115">
        <f>0</f>
        <v>0</v>
      </c>
      <c r="Q9" s="115">
        <f>0</f>
        <v>0</v>
      </c>
      <c r="R9" s="115">
        <f>0</f>
        <v>0</v>
      </c>
      <c r="S9" s="126" t="s">
        <v>41</v>
      </c>
      <c r="T9" s="189" t="s">
        <v>29</v>
      </c>
      <c r="U9" s="115">
        <f>0</f>
        <v>0</v>
      </c>
      <c r="V9" s="115">
        <f>0</f>
        <v>0</v>
      </c>
      <c r="W9" s="115">
        <f>0</f>
        <v>0</v>
      </c>
      <c r="X9" s="115">
        <f>0</f>
        <v>0</v>
      </c>
      <c r="Y9" s="115">
        <f>0</f>
        <v>0</v>
      </c>
      <c r="Z9" s="115">
        <f>0</f>
        <v>0</v>
      </c>
      <c r="AA9" s="115">
        <f>0</f>
        <v>0</v>
      </c>
      <c r="AB9" s="126" t="s">
        <v>41</v>
      </c>
      <c r="AC9" s="189" t="s">
        <v>29</v>
      </c>
      <c r="AD9" s="115">
        <f>0</f>
        <v>0</v>
      </c>
      <c r="AE9" s="115">
        <f>0</f>
        <v>0</v>
      </c>
      <c r="AF9" s="115">
        <f>0</f>
        <v>0</v>
      </c>
      <c r="AG9" s="115">
        <f>0</f>
        <v>0</v>
      </c>
      <c r="AH9" s="115">
        <f>0</f>
        <v>0</v>
      </c>
      <c r="AI9" s="115">
        <f>0</f>
        <v>0</v>
      </c>
      <c r="AJ9" s="115">
        <f>0</f>
        <v>0</v>
      </c>
      <c r="AK9" s="126" t="s">
        <v>41</v>
      </c>
      <c r="AL9" s="189" t="s">
        <v>29</v>
      </c>
      <c r="AM9" s="115">
        <f>0</f>
        <v>0</v>
      </c>
      <c r="AN9" s="115">
        <f>0</f>
        <v>0</v>
      </c>
      <c r="AO9" s="115">
        <f>0</f>
        <v>0</v>
      </c>
      <c r="AP9" s="115">
        <f>0</f>
        <v>0</v>
      </c>
      <c r="AQ9" s="115">
        <f>0</f>
        <v>0</v>
      </c>
      <c r="AR9" s="115">
        <f>0</f>
        <v>0</v>
      </c>
      <c r="AS9" s="115">
        <f>0</f>
        <v>0</v>
      </c>
      <c r="AT9" s="126" t="s">
        <v>41</v>
      </c>
      <c r="AU9" s="189" t="s">
        <v>29</v>
      </c>
      <c r="AV9" s="115">
        <f>0</f>
        <v>0</v>
      </c>
      <c r="AW9" s="115">
        <f>0</f>
        <v>0</v>
      </c>
      <c r="AX9" s="115">
        <f>0</f>
        <v>0</v>
      </c>
    </row>
    <row r="10" spans="1:50" ht="24" customHeight="1">
      <c r="A10" s="124">
        <v>2</v>
      </c>
      <c r="B10" s="125" t="s">
        <v>2</v>
      </c>
      <c r="C10" s="113">
        <v>30639839.23</v>
      </c>
      <c r="D10" s="113">
        <v>33441188.239999998</v>
      </c>
      <c r="E10" s="113">
        <v>36706370</v>
      </c>
      <c r="F10" s="113">
        <v>36130632.409999996</v>
      </c>
      <c r="G10" s="113">
        <v>37937631.5</v>
      </c>
      <c r="H10" s="113">
        <f>38052601</f>
        <v>38052601</v>
      </c>
      <c r="I10" s="113">
        <f>39582109</f>
        <v>39582109</v>
      </c>
      <c r="J10" s="124">
        <v>2</v>
      </c>
      <c r="K10" s="125" t="s">
        <v>2</v>
      </c>
      <c r="L10" s="113">
        <f>40786159</f>
        <v>40786159</v>
      </c>
      <c r="M10" s="113">
        <f>41987391</f>
        <v>41987391</v>
      </c>
      <c r="N10" s="113">
        <f>43018448</f>
        <v>43018448</v>
      </c>
      <c r="O10" s="113">
        <f>44033008</f>
        <v>44033008</v>
      </c>
      <c r="P10" s="113">
        <f>45071918</f>
        <v>45071918</v>
      </c>
      <c r="Q10" s="113">
        <f>46135762</f>
        <v>46135762</v>
      </c>
      <c r="R10" s="113">
        <f>47225138</f>
        <v>47225138</v>
      </c>
      <c r="S10" s="124">
        <v>2</v>
      </c>
      <c r="T10" s="125" t="s">
        <v>2</v>
      </c>
      <c r="U10" s="113">
        <f>48340659</f>
        <v>48340659</v>
      </c>
      <c r="V10" s="113">
        <f>49435357</f>
        <v>49435357</v>
      </c>
      <c r="W10" s="113">
        <f>50555233</f>
        <v>50555233</v>
      </c>
      <c r="X10" s="113">
        <f>51700866</f>
        <v>51700866</v>
      </c>
      <c r="Y10" s="113">
        <f>52872849</f>
        <v>52872849</v>
      </c>
      <c r="Z10" s="113">
        <f>54071787</f>
        <v>54071787</v>
      </c>
      <c r="AA10" s="113">
        <f>55244974</f>
        <v>55244974</v>
      </c>
      <c r="AB10" s="124">
        <v>2</v>
      </c>
      <c r="AC10" s="125" t="s">
        <v>2</v>
      </c>
      <c r="AD10" s="113">
        <f>56443971</f>
        <v>56443971</v>
      </c>
      <c r="AE10" s="113">
        <f>57669346</f>
        <v>57669346</v>
      </c>
      <c r="AF10" s="113">
        <f>58921679</f>
        <v>58921679</v>
      </c>
      <c r="AG10" s="113">
        <f>60201563</f>
        <v>60201563</v>
      </c>
      <c r="AH10" s="113">
        <f>61450149</f>
        <v>61450149</v>
      </c>
      <c r="AI10" s="113">
        <f>62724955</f>
        <v>62724955</v>
      </c>
      <c r="AJ10" s="113">
        <f>64026532</f>
        <v>64026532</v>
      </c>
      <c r="AK10" s="124">
        <v>2</v>
      </c>
      <c r="AL10" s="125" t="s">
        <v>2</v>
      </c>
      <c r="AM10" s="113">
        <f>65355442</f>
        <v>65355442</v>
      </c>
      <c r="AN10" s="113">
        <f>66712259</f>
        <v>66712259</v>
      </c>
      <c r="AO10" s="113">
        <f>72111602</f>
        <v>72111602</v>
      </c>
      <c r="AP10" s="113">
        <f>73538932</f>
        <v>73538932</v>
      </c>
      <c r="AQ10" s="113">
        <f>74994809</f>
        <v>74994809</v>
      </c>
      <c r="AR10" s="113">
        <f>76479803</f>
        <v>76479803</v>
      </c>
      <c r="AS10" s="113">
        <f>77994497</f>
        <v>77994497</v>
      </c>
      <c r="AT10" s="124">
        <v>2</v>
      </c>
      <c r="AU10" s="125" t="s">
        <v>2</v>
      </c>
      <c r="AV10" s="113">
        <f>79539485</f>
        <v>79539485</v>
      </c>
      <c r="AW10" s="113">
        <f>81115373</f>
        <v>81115373</v>
      </c>
      <c r="AX10" s="113">
        <f>82722778</f>
        <v>82722778</v>
      </c>
    </row>
    <row r="11" spans="1:50" ht="12" customHeight="1">
      <c r="A11" s="130" t="s">
        <v>43</v>
      </c>
      <c r="B11" s="118" t="s">
        <v>3</v>
      </c>
      <c r="C11" s="114">
        <v>15057677.939999999</v>
      </c>
      <c r="D11" s="114">
        <v>12905098.460000001</v>
      </c>
      <c r="E11" s="114">
        <v>19828154</v>
      </c>
      <c r="F11" s="114">
        <v>20039049.25</v>
      </c>
      <c r="G11" s="114">
        <v>20586416</v>
      </c>
      <c r="H11" s="114">
        <f>21511357</f>
        <v>21511357</v>
      </c>
      <c r="I11" s="114">
        <f>22497693</f>
        <v>22497693</v>
      </c>
      <c r="J11" s="130" t="s">
        <v>43</v>
      </c>
      <c r="K11" s="118" t="s">
        <v>3</v>
      </c>
      <c r="L11" s="114">
        <f>23298628</f>
        <v>23298628</v>
      </c>
      <c r="M11" s="114">
        <f>24084302</f>
        <v>24084302</v>
      </c>
      <c r="N11" s="114">
        <f>24874241</f>
        <v>24874241</v>
      </c>
      <c r="O11" s="114">
        <f>25667015</f>
        <v>25667015</v>
      </c>
      <c r="P11" s="114">
        <f>26461134</f>
        <v>26461134</v>
      </c>
      <c r="Q11" s="114">
        <f>27255054</f>
        <v>27255054</v>
      </c>
      <c r="R11" s="114">
        <f>28047182</f>
        <v>28047182</v>
      </c>
      <c r="S11" s="130" t="s">
        <v>43</v>
      </c>
      <c r="T11" s="118" t="s">
        <v>3</v>
      </c>
      <c r="U11" s="114">
        <f>28835877</f>
        <v>28835877</v>
      </c>
      <c r="V11" s="114">
        <f>29647444</f>
        <v>29647444</v>
      </c>
      <c r="W11" s="114">
        <f>30482547</f>
        <v>30482547</v>
      </c>
      <c r="X11" s="114">
        <f>31312236</f>
        <v>31312236</v>
      </c>
      <c r="Y11" s="114">
        <f>32165156</f>
        <v>32165156</v>
      </c>
      <c r="Z11" s="114">
        <f>33041958</f>
        <v>33041958</v>
      </c>
      <c r="AA11" s="114">
        <f>33943310</f>
        <v>33943310</v>
      </c>
      <c r="AB11" s="130" t="s">
        <v>43</v>
      </c>
      <c r="AC11" s="118" t="s">
        <v>3</v>
      </c>
      <c r="AD11" s="114">
        <f>34836808</f>
        <v>34836808</v>
      </c>
      <c r="AE11" s="114">
        <f>35754430</f>
        <v>35754430</v>
      </c>
      <c r="AF11" s="114">
        <f>36696828</f>
        <v>36696828</v>
      </c>
      <c r="AG11" s="114">
        <f>37628825</f>
        <v>37628825</v>
      </c>
      <c r="AH11" s="114">
        <f>38585053</f>
        <v>38585053</v>
      </c>
      <c r="AI11" s="114">
        <f>39566144</f>
        <v>39566144</v>
      </c>
      <c r="AJ11" s="114">
        <f>40572743</f>
        <v>40572743</v>
      </c>
      <c r="AK11" s="130" t="s">
        <v>43</v>
      </c>
      <c r="AL11" s="118" t="s">
        <v>3</v>
      </c>
      <c r="AM11" s="114">
        <f>41605514</f>
        <v>41605514</v>
      </c>
      <c r="AN11" s="114">
        <f>42665137</f>
        <v>42665137</v>
      </c>
      <c r="AO11" s="114">
        <f>43752310</f>
        <v>43752310</v>
      </c>
      <c r="AP11" s="114">
        <f>44867749</f>
        <v>44867749</v>
      </c>
      <c r="AQ11" s="114">
        <f>46012190</f>
        <v>46012190</v>
      </c>
      <c r="AR11" s="114">
        <f>46915418</f>
        <v>46915418</v>
      </c>
      <c r="AS11" s="114">
        <f>47836098</f>
        <v>47836098</v>
      </c>
      <c r="AT11" s="130" t="s">
        <v>43</v>
      </c>
      <c r="AU11" s="118" t="s">
        <v>3</v>
      </c>
      <c r="AV11" s="114">
        <f>48775804</f>
        <v>48775804</v>
      </c>
      <c r="AW11" s="114">
        <f>49734304</f>
        <v>49734304</v>
      </c>
      <c r="AX11" s="114">
        <f>50711974</f>
        <v>50711974</v>
      </c>
    </row>
    <row r="12" spans="1:50" ht="12" customHeight="1">
      <c r="A12" s="130" t="s">
        <v>45</v>
      </c>
      <c r="B12" s="118" t="s">
        <v>4</v>
      </c>
      <c r="C12" s="114">
        <v>420446.5</v>
      </c>
      <c r="D12" s="114">
        <v>408211.82</v>
      </c>
      <c r="E12" s="114">
        <v>482200</v>
      </c>
      <c r="F12" s="114">
        <v>459591.64</v>
      </c>
      <c r="G12" s="114">
        <f>442400</f>
        <v>442400</v>
      </c>
      <c r="H12" s="114">
        <f>548800</f>
        <v>548800</v>
      </c>
      <c r="I12" s="114">
        <f>580000</f>
        <v>580000</v>
      </c>
      <c r="J12" s="130" t="s">
        <v>45</v>
      </c>
      <c r="K12" s="118" t="s">
        <v>4</v>
      </c>
      <c r="L12" s="114">
        <f>601400</f>
        <v>601400</v>
      </c>
      <c r="M12" s="114">
        <f>622400</f>
        <v>622400</v>
      </c>
      <c r="N12" s="114">
        <f>643500</f>
        <v>643500</v>
      </c>
      <c r="O12" s="114">
        <f>664700</f>
        <v>664700</v>
      </c>
      <c r="P12" s="114">
        <f>686000</f>
        <v>686000</v>
      </c>
      <c r="Q12" s="114">
        <f>707300</f>
        <v>707300</v>
      </c>
      <c r="R12" s="114">
        <f>728500</f>
        <v>728500</v>
      </c>
      <c r="S12" s="130" t="s">
        <v>45</v>
      </c>
      <c r="T12" s="118" t="s">
        <v>4</v>
      </c>
      <c r="U12" s="114">
        <f>749600</f>
        <v>749600</v>
      </c>
      <c r="V12" s="114">
        <f>771300</f>
        <v>771300</v>
      </c>
      <c r="W12" s="114">
        <f>793700</f>
        <v>793700</v>
      </c>
      <c r="X12" s="114">
        <f>815900</f>
        <v>815900</v>
      </c>
      <c r="Y12" s="114">
        <f>838700</f>
        <v>838700</v>
      </c>
      <c r="Z12" s="114">
        <f>862200</f>
        <v>862200</v>
      </c>
      <c r="AA12" s="114">
        <f>886300</f>
        <v>886300</v>
      </c>
      <c r="AB12" s="130" t="s">
        <v>45</v>
      </c>
      <c r="AC12" s="118" t="s">
        <v>4</v>
      </c>
      <c r="AD12" s="114">
        <f>910200</f>
        <v>910200</v>
      </c>
      <c r="AE12" s="114">
        <f>934800</f>
        <v>934800</v>
      </c>
      <c r="AF12" s="114">
        <f>960100</f>
        <v>960100</v>
      </c>
      <c r="AG12" s="114">
        <f>985100</f>
        <v>985100</v>
      </c>
      <c r="AH12" s="114">
        <f>1010700</f>
        <v>1010700</v>
      </c>
      <c r="AI12" s="114">
        <f>1037000</f>
        <v>1037000</v>
      </c>
      <c r="AJ12" s="114">
        <f>1058800</f>
        <v>1058800</v>
      </c>
      <c r="AK12" s="130" t="s">
        <v>45</v>
      </c>
      <c r="AL12" s="118" t="s">
        <v>4</v>
      </c>
      <c r="AM12" s="114">
        <f>1081000</f>
        <v>1081000</v>
      </c>
      <c r="AN12" s="114">
        <f>1103700</f>
        <v>1103700</v>
      </c>
      <c r="AO12" s="114">
        <f>1125800</f>
        <v>1125800</v>
      </c>
      <c r="AP12" s="114">
        <f>1148300</f>
        <v>1148300</v>
      </c>
      <c r="AQ12" s="114">
        <f>1171300</f>
        <v>1171300</v>
      </c>
      <c r="AR12" s="114">
        <f>1194700</f>
        <v>1194700</v>
      </c>
      <c r="AS12" s="114">
        <f>1218600</f>
        <v>1218600</v>
      </c>
      <c r="AT12" s="130" t="s">
        <v>45</v>
      </c>
      <c r="AU12" s="118" t="s">
        <v>4</v>
      </c>
      <c r="AV12" s="114">
        <f>1242900</f>
        <v>1242900</v>
      </c>
      <c r="AW12" s="114">
        <f>1267800</f>
        <v>1267800</v>
      </c>
      <c r="AX12" s="114">
        <f>1293200</f>
        <v>1293200</v>
      </c>
    </row>
    <row r="13" spans="1:50" ht="12" customHeight="1">
      <c r="A13" s="130" t="s">
        <v>47</v>
      </c>
      <c r="B13" s="118" t="s">
        <v>95</v>
      </c>
      <c r="C13" s="114">
        <v>0</v>
      </c>
      <c r="D13" s="114">
        <v>0</v>
      </c>
      <c r="E13" s="114">
        <v>0</v>
      </c>
      <c r="F13" s="114">
        <v>0</v>
      </c>
      <c r="G13" s="114">
        <f>32700</f>
        <v>32700</v>
      </c>
      <c r="H13" s="114">
        <f>32800</f>
        <v>32800</v>
      </c>
      <c r="I13" s="114">
        <f>32800</f>
        <v>32800</v>
      </c>
      <c r="J13" s="130" t="s">
        <v>47</v>
      </c>
      <c r="K13" s="118" t="s">
        <v>95</v>
      </c>
      <c r="L13" s="114">
        <f>32700</f>
        <v>32700</v>
      </c>
      <c r="M13" s="114">
        <f>32500</f>
        <v>32500</v>
      </c>
      <c r="N13" s="114">
        <f>32100</f>
        <v>32100</v>
      </c>
      <c r="O13" s="114">
        <f>31600</f>
        <v>31600</v>
      </c>
      <c r="P13" s="114">
        <f>31000</f>
        <v>31000</v>
      </c>
      <c r="Q13" s="114">
        <f>30300</f>
        <v>30300</v>
      </c>
      <c r="R13" s="114">
        <f>29500</f>
        <v>29500</v>
      </c>
      <c r="S13" s="130" t="s">
        <v>47</v>
      </c>
      <c r="T13" s="118" t="s">
        <v>95</v>
      </c>
      <c r="U13" s="114">
        <f>28600</f>
        <v>28600</v>
      </c>
      <c r="V13" s="114">
        <f>27600</f>
        <v>27600</v>
      </c>
      <c r="W13" s="114">
        <f>26500</f>
        <v>26500</v>
      </c>
      <c r="X13" s="114">
        <f>25400</f>
        <v>25400</v>
      </c>
      <c r="Y13" s="114">
        <f>24200</f>
        <v>24200</v>
      </c>
      <c r="Z13" s="114">
        <f>23100</f>
        <v>23100</v>
      </c>
      <c r="AA13" s="114">
        <f>22000</f>
        <v>22000</v>
      </c>
      <c r="AB13" s="130" t="s">
        <v>47</v>
      </c>
      <c r="AC13" s="118" t="s">
        <v>95</v>
      </c>
      <c r="AD13" s="114">
        <f>21000</f>
        <v>21000</v>
      </c>
      <c r="AE13" s="114">
        <f>20000</f>
        <v>20000</v>
      </c>
      <c r="AF13" s="114">
        <f>19100</f>
        <v>19100</v>
      </c>
      <c r="AG13" s="114">
        <f>18200</f>
        <v>18200</v>
      </c>
      <c r="AH13" s="114">
        <f>17300</f>
        <v>17300</v>
      </c>
      <c r="AI13" s="114">
        <f>16500</f>
        <v>16500</v>
      </c>
      <c r="AJ13" s="114">
        <f>15800</f>
        <v>15800</v>
      </c>
      <c r="AK13" s="130" t="s">
        <v>47</v>
      </c>
      <c r="AL13" s="118" t="s">
        <v>95</v>
      </c>
      <c r="AM13" s="114">
        <f>13600</f>
        <v>13600</v>
      </c>
      <c r="AN13" s="114">
        <f>13000</f>
        <v>13000</v>
      </c>
      <c r="AO13" s="114">
        <f>12500</f>
        <v>12500</v>
      </c>
      <c r="AP13" s="114">
        <f>12500</f>
        <v>12500</v>
      </c>
      <c r="AQ13" s="114">
        <f>12500</f>
        <v>12500</v>
      </c>
      <c r="AR13" s="114">
        <f>12300</f>
        <v>12300</v>
      </c>
      <c r="AS13" s="114">
        <f>12200</f>
        <v>12200</v>
      </c>
      <c r="AT13" s="130" t="s">
        <v>47</v>
      </c>
      <c r="AU13" s="118" t="s">
        <v>95</v>
      </c>
      <c r="AV13" s="114">
        <f>10000</f>
        <v>10000</v>
      </c>
      <c r="AW13" s="114">
        <f>11900</f>
        <v>11900</v>
      </c>
      <c r="AX13" s="114">
        <f>11800</f>
        <v>11800</v>
      </c>
    </row>
    <row r="14" spans="1:50" ht="24" customHeight="1">
      <c r="A14" s="130" t="s">
        <v>49</v>
      </c>
      <c r="B14" s="116" t="s">
        <v>94</v>
      </c>
      <c r="C14" s="114">
        <f>0</f>
        <v>0</v>
      </c>
      <c r="D14" s="114">
        <f>0</f>
        <v>0</v>
      </c>
      <c r="E14" s="114">
        <f>0</f>
        <v>0</v>
      </c>
      <c r="F14" s="114">
        <f>0</f>
        <v>0</v>
      </c>
      <c r="G14" s="114">
        <f>0</f>
        <v>0</v>
      </c>
      <c r="H14" s="114">
        <f>0</f>
        <v>0</v>
      </c>
      <c r="I14" s="114">
        <f>0</f>
        <v>0</v>
      </c>
      <c r="J14" s="130" t="s">
        <v>49</v>
      </c>
      <c r="K14" s="116" t="s">
        <v>94</v>
      </c>
      <c r="L14" s="114">
        <f>0</f>
        <v>0</v>
      </c>
      <c r="M14" s="114">
        <f>0</f>
        <v>0</v>
      </c>
      <c r="N14" s="114">
        <f>0</f>
        <v>0</v>
      </c>
      <c r="O14" s="114">
        <f>0</f>
        <v>0</v>
      </c>
      <c r="P14" s="114">
        <f>0</f>
        <v>0</v>
      </c>
      <c r="Q14" s="114">
        <f>0</f>
        <v>0</v>
      </c>
      <c r="R14" s="114">
        <f>0</f>
        <v>0</v>
      </c>
      <c r="S14" s="130" t="s">
        <v>49</v>
      </c>
      <c r="T14" s="116" t="s">
        <v>94</v>
      </c>
      <c r="U14" s="114">
        <f>0</f>
        <v>0</v>
      </c>
      <c r="V14" s="114">
        <f>0</f>
        <v>0</v>
      </c>
      <c r="W14" s="114">
        <f>0</f>
        <v>0</v>
      </c>
      <c r="X14" s="114">
        <f>0</f>
        <v>0</v>
      </c>
      <c r="Y14" s="114">
        <f>0</f>
        <v>0</v>
      </c>
      <c r="Z14" s="114">
        <f>0</f>
        <v>0</v>
      </c>
      <c r="AA14" s="114">
        <f>0</f>
        <v>0</v>
      </c>
      <c r="AB14" s="130" t="s">
        <v>49</v>
      </c>
      <c r="AC14" s="116" t="s">
        <v>94</v>
      </c>
      <c r="AD14" s="114">
        <f>0</f>
        <v>0</v>
      </c>
      <c r="AE14" s="114">
        <f>0</f>
        <v>0</v>
      </c>
      <c r="AF14" s="114">
        <f>0</f>
        <v>0</v>
      </c>
      <c r="AG14" s="114">
        <f>0</f>
        <v>0</v>
      </c>
      <c r="AH14" s="114">
        <f>0</f>
        <v>0</v>
      </c>
      <c r="AI14" s="114">
        <f>0</f>
        <v>0</v>
      </c>
      <c r="AJ14" s="114">
        <f>0</f>
        <v>0</v>
      </c>
      <c r="AK14" s="130" t="s">
        <v>49</v>
      </c>
      <c r="AL14" s="116" t="s">
        <v>94</v>
      </c>
      <c r="AM14" s="114">
        <f>0</f>
        <v>0</v>
      </c>
      <c r="AN14" s="114">
        <f>0</f>
        <v>0</v>
      </c>
      <c r="AO14" s="114">
        <f>0</f>
        <v>0</v>
      </c>
      <c r="AP14" s="114">
        <f>0</f>
        <v>0</v>
      </c>
      <c r="AQ14" s="114">
        <f>0</f>
        <v>0</v>
      </c>
      <c r="AR14" s="114">
        <f>0</f>
        <v>0</v>
      </c>
      <c r="AS14" s="114">
        <f>0</f>
        <v>0</v>
      </c>
      <c r="AT14" s="130" t="s">
        <v>49</v>
      </c>
      <c r="AU14" s="116" t="s">
        <v>94</v>
      </c>
      <c r="AV14" s="114">
        <f>0</f>
        <v>0</v>
      </c>
      <c r="AW14" s="114">
        <f>0</f>
        <v>0</v>
      </c>
      <c r="AX14" s="114">
        <f>0</f>
        <v>0</v>
      </c>
    </row>
    <row r="15" spans="1:50" ht="12" customHeight="1">
      <c r="A15" s="130" t="s">
        <v>51</v>
      </c>
      <c r="B15" s="118" t="s">
        <v>5</v>
      </c>
      <c r="C15" s="114">
        <v>0</v>
      </c>
      <c r="D15" s="114">
        <v>0</v>
      </c>
      <c r="E15" s="114">
        <v>207532</v>
      </c>
      <c r="F15" s="114">
        <v>117057.17</v>
      </c>
      <c r="G15" s="114">
        <f>SUM('Zał.2 Przeds.'!F7)</f>
        <v>424274</v>
      </c>
      <c r="H15" s="114">
        <f>SUM('Zał.2 Przeds.'!G7)</f>
        <v>313811</v>
      </c>
      <c r="I15" s="114">
        <f>SUM('Zał.2 Przeds.'!H7)</f>
        <v>164800</v>
      </c>
      <c r="J15" s="130" t="s">
        <v>51</v>
      </c>
      <c r="K15" s="118" t="s">
        <v>5</v>
      </c>
      <c r="L15" s="114">
        <f>32700</f>
        <v>32700</v>
      </c>
      <c r="M15" s="114">
        <f>32500</f>
        <v>32500</v>
      </c>
      <c r="N15" s="114">
        <f>32100</f>
        <v>32100</v>
      </c>
      <c r="O15" s="114">
        <f>31600</f>
        <v>31600</v>
      </c>
      <c r="P15" s="114">
        <f>31000</f>
        <v>31000</v>
      </c>
      <c r="Q15" s="114">
        <f>30300</f>
        <v>30300</v>
      </c>
      <c r="R15" s="114">
        <f>29500</f>
        <v>29500</v>
      </c>
      <c r="S15" s="130" t="s">
        <v>51</v>
      </c>
      <c r="T15" s="118" t="s">
        <v>5</v>
      </c>
      <c r="U15" s="114">
        <f>28600</f>
        <v>28600</v>
      </c>
      <c r="V15" s="114">
        <f>27600</f>
        <v>27600</v>
      </c>
      <c r="W15" s="114">
        <f>26500</f>
        <v>26500</v>
      </c>
      <c r="X15" s="114">
        <f>25400</f>
        <v>25400</v>
      </c>
      <c r="Y15" s="114">
        <f>24200</f>
        <v>24200</v>
      </c>
      <c r="Z15" s="114">
        <f>23100</f>
        <v>23100</v>
      </c>
      <c r="AA15" s="114">
        <f>22000</f>
        <v>22000</v>
      </c>
      <c r="AB15" s="130" t="s">
        <v>51</v>
      </c>
      <c r="AC15" s="118" t="s">
        <v>5</v>
      </c>
      <c r="AD15" s="114">
        <f>21000</f>
        <v>21000</v>
      </c>
      <c r="AE15" s="114">
        <f>20000</f>
        <v>20000</v>
      </c>
      <c r="AF15" s="114">
        <f>19100</f>
        <v>19100</v>
      </c>
      <c r="AG15" s="114">
        <f>18200</f>
        <v>18200</v>
      </c>
      <c r="AH15" s="114">
        <f>17300</f>
        <v>17300</v>
      </c>
      <c r="AI15" s="114">
        <f>16500</f>
        <v>16500</v>
      </c>
      <c r="AJ15" s="114">
        <f>15800</f>
        <v>15800</v>
      </c>
      <c r="AK15" s="130" t="s">
        <v>51</v>
      </c>
      <c r="AL15" s="118" t="s">
        <v>5</v>
      </c>
      <c r="AM15" s="114">
        <f>13600</f>
        <v>13600</v>
      </c>
      <c r="AN15" s="114">
        <f>13000</f>
        <v>13000</v>
      </c>
      <c r="AO15" s="114">
        <f>12500</f>
        <v>12500</v>
      </c>
      <c r="AP15" s="114">
        <f>12500</f>
        <v>12500</v>
      </c>
      <c r="AQ15" s="114">
        <f>12500</f>
        <v>12500</v>
      </c>
      <c r="AR15" s="114">
        <f>12300</f>
        <v>12300</v>
      </c>
      <c r="AS15" s="114">
        <f>12200</f>
        <v>12200</v>
      </c>
      <c r="AT15" s="130" t="s">
        <v>51</v>
      </c>
      <c r="AU15" s="118" t="s">
        <v>5</v>
      </c>
      <c r="AV15" s="114">
        <f>10000</f>
        <v>10000</v>
      </c>
      <c r="AW15" s="114">
        <f>11900</f>
        <v>11900</v>
      </c>
      <c r="AX15" s="114">
        <f>11800</f>
        <v>11800</v>
      </c>
    </row>
    <row r="16" spans="1:50" ht="24" customHeight="1">
      <c r="A16" s="126" t="s">
        <v>53</v>
      </c>
      <c r="B16" s="127" t="s">
        <v>93</v>
      </c>
      <c r="C16" s="115">
        <v>148801.65</v>
      </c>
      <c r="D16" s="115">
        <v>163696.72</v>
      </c>
      <c r="E16" s="115">
        <v>273756</v>
      </c>
      <c r="F16" s="115">
        <v>253481.86</v>
      </c>
      <c r="G16" s="115">
        <v>499104</v>
      </c>
      <c r="H16" s="115">
        <v>276120</v>
      </c>
      <c r="I16" s="115">
        <v>130000</v>
      </c>
      <c r="J16" s="126" t="s">
        <v>53</v>
      </c>
      <c r="K16" s="127" t="s">
        <v>93</v>
      </c>
      <c r="L16" s="115">
        <f>0</f>
        <v>0</v>
      </c>
      <c r="M16" s="115">
        <f>0</f>
        <v>0</v>
      </c>
      <c r="N16" s="115">
        <f>0</f>
        <v>0</v>
      </c>
      <c r="O16" s="115">
        <f>0</f>
        <v>0</v>
      </c>
      <c r="P16" s="115">
        <f>0</f>
        <v>0</v>
      </c>
      <c r="Q16" s="115">
        <f>0</f>
        <v>0</v>
      </c>
      <c r="R16" s="115">
        <f>0</f>
        <v>0</v>
      </c>
      <c r="S16" s="126" t="s">
        <v>53</v>
      </c>
      <c r="T16" s="127" t="s">
        <v>93</v>
      </c>
      <c r="U16" s="115">
        <f>0</f>
        <v>0</v>
      </c>
      <c r="V16" s="115">
        <f>0</f>
        <v>0</v>
      </c>
      <c r="W16" s="115">
        <f>0</f>
        <v>0</v>
      </c>
      <c r="X16" s="115">
        <f>0</f>
        <v>0</v>
      </c>
      <c r="Y16" s="115">
        <f>0</f>
        <v>0</v>
      </c>
      <c r="Z16" s="115">
        <f>0</f>
        <v>0</v>
      </c>
      <c r="AA16" s="115">
        <f>0</f>
        <v>0</v>
      </c>
      <c r="AB16" s="126" t="s">
        <v>53</v>
      </c>
      <c r="AC16" s="127" t="s">
        <v>93</v>
      </c>
      <c r="AD16" s="115">
        <f>0</f>
        <v>0</v>
      </c>
      <c r="AE16" s="115">
        <f>0</f>
        <v>0</v>
      </c>
      <c r="AF16" s="115">
        <f>0</f>
        <v>0</v>
      </c>
      <c r="AG16" s="115">
        <f>0</f>
        <v>0</v>
      </c>
      <c r="AH16" s="115">
        <f>0</f>
        <v>0</v>
      </c>
      <c r="AI16" s="115">
        <f>0</f>
        <v>0</v>
      </c>
      <c r="AJ16" s="115">
        <f>0</f>
        <v>0</v>
      </c>
      <c r="AK16" s="126" t="s">
        <v>53</v>
      </c>
      <c r="AL16" s="127" t="s">
        <v>93</v>
      </c>
      <c r="AM16" s="115">
        <f>0</f>
        <v>0</v>
      </c>
      <c r="AN16" s="115">
        <f>0</f>
        <v>0</v>
      </c>
      <c r="AO16" s="115">
        <f>0</f>
        <v>0</v>
      </c>
      <c r="AP16" s="115">
        <f>0</f>
        <v>0</v>
      </c>
      <c r="AQ16" s="115">
        <f>0</f>
        <v>0</v>
      </c>
      <c r="AR16" s="115">
        <f>0</f>
        <v>0</v>
      </c>
      <c r="AS16" s="115">
        <f>0</f>
        <v>0</v>
      </c>
      <c r="AT16" s="126" t="s">
        <v>53</v>
      </c>
      <c r="AU16" s="127" t="s">
        <v>93</v>
      </c>
      <c r="AV16" s="115">
        <f>0</f>
        <v>0</v>
      </c>
      <c r="AW16" s="115">
        <f>0</f>
        <v>0</v>
      </c>
      <c r="AX16" s="115">
        <f>0</f>
        <v>0</v>
      </c>
    </row>
    <row r="17" spans="1:50" ht="12" customHeight="1">
      <c r="A17" s="123">
        <v>3</v>
      </c>
      <c r="B17" s="119" t="s">
        <v>55</v>
      </c>
      <c r="C17" s="117">
        <f>SUM(C4-C10)</f>
        <v>10578609.889999997</v>
      </c>
      <c r="D17" s="117">
        <f t="shared" ref="D17:I17" si="6">SUM(D4-D10)</f>
        <v>9283400.8099999987</v>
      </c>
      <c r="E17" s="117">
        <f t="shared" si="6"/>
        <v>56928628</v>
      </c>
      <c r="F17" s="117">
        <f t="shared" si="6"/>
        <v>8113135.6099999994</v>
      </c>
      <c r="G17" s="117">
        <f t="shared" si="6"/>
        <v>31045896</v>
      </c>
      <c r="H17" s="117">
        <f t="shared" si="6"/>
        <v>17247399</v>
      </c>
      <c r="I17" s="117">
        <f t="shared" si="6"/>
        <v>12972001</v>
      </c>
      <c r="J17" s="123">
        <v>3</v>
      </c>
      <c r="K17" s="119" t="s">
        <v>55</v>
      </c>
      <c r="L17" s="117">
        <f t="shared" ref="L17:R17" si="7">SUM(L4-L10)</f>
        <v>10548186</v>
      </c>
      <c r="M17" s="117">
        <f t="shared" si="7"/>
        <v>10765836</v>
      </c>
      <c r="N17" s="117">
        <f t="shared" si="7"/>
        <v>10937110</v>
      </c>
      <c r="O17" s="117">
        <f t="shared" si="7"/>
        <v>11204043</v>
      </c>
      <c r="P17" s="117">
        <f t="shared" si="7"/>
        <v>11477382</v>
      </c>
      <c r="Q17" s="117">
        <f t="shared" si="7"/>
        <v>11757281</v>
      </c>
      <c r="R17" s="117">
        <f t="shared" si="7"/>
        <v>12043898</v>
      </c>
      <c r="S17" s="123">
        <v>3</v>
      </c>
      <c r="T17" s="119" t="s">
        <v>55</v>
      </c>
      <c r="U17" s="117">
        <f t="shared" ref="U17:AA17" si="8">SUM(U4-U10)</f>
        <v>12337394</v>
      </c>
      <c r="V17" s="117">
        <f t="shared" si="8"/>
        <v>12625411</v>
      </c>
      <c r="W17" s="117">
        <f t="shared" si="8"/>
        <v>12920053</v>
      </c>
      <c r="X17" s="117">
        <f t="shared" si="8"/>
        <v>13221472</v>
      </c>
      <c r="Y17" s="117">
        <f t="shared" si="8"/>
        <v>13529823</v>
      </c>
      <c r="Z17" s="117">
        <f t="shared" si="8"/>
        <v>13845266</v>
      </c>
      <c r="AA17" s="117">
        <f t="shared" si="8"/>
        <v>14153934</v>
      </c>
      <c r="AB17" s="123">
        <v>3</v>
      </c>
      <c r="AC17" s="119" t="s">
        <v>55</v>
      </c>
      <c r="AD17" s="117">
        <f t="shared" ref="AD17:AJ17" si="9">SUM(AD4-AD10)</f>
        <v>14469393</v>
      </c>
      <c r="AE17" s="117">
        <f t="shared" si="9"/>
        <v>14791792</v>
      </c>
      <c r="AF17" s="117">
        <f t="shared" si="9"/>
        <v>15121284</v>
      </c>
      <c r="AG17" s="117">
        <f t="shared" si="9"/>
        <v>15458025</v>
      </c>
      <c r="AH17" s="117">
        <f t="shared" si="9"/>
        <v>15786530</v>
      </c>
      <c r="AI17" s="117">
        <f t="shared" si="9"/>
        <v>16121934</v>
      </c>
      <c r="AJ17" s="117">
        <f t="shared" si="9"/>
        <v>16464382</v>
      </c>
      <c r="AK17" s="123">
        <v>3</v>
      </c>
      <c r="AL17" s="119" t="s">
        <v>55</v>
      </c>
      <c r="AM17" s="117">
        <f t="shared" ref="AM17:AS17" si="10">SUM(AM4-AM10)</f>
        <v>16814021</v>
      </c>
      <c r="AN17" s="117">
        <f t="shared" si="10"/>
        <v>17171003</v>
      </c>
      <c r="AO17" s="117">
        <f t="shared" si="10"/>
        <v>13438125</v>
      </c>
      <c r="AP17" s="117">
        <f t="shared" si="10"/>
        <v>13710590</v>
      </c>
      <c r="AQ17" s="117">
        <f t="shared" si="10"/>
        <v>13988503</v>
      </c>
      <c r="AR17" s="117">
        <f t="shared" si="10"/>
        <v>14271975</v>
      </c>
      <c r="AS17" s="117">
        <f t="shared" si="10"/>
        <v>14561117</v>
      </c>
      <c r="AT17" s="123">
        <v>3</v>
      </c>
      <c r="AU17" s="119" t="s">
        <v>55</v>
      </c>
      <c r="AV17" s="117">
        <f t="shared" ref="AV17:AX17" si="11">SUM(AV4-AV10)</f>
        <v>14856041</v>
      </c>
      <c r="AW17" s="117">
        <f t="shared" si="11"/>
        <v>15156864</v>
      </c>
      <c r="AX17" s="117">
        <f t="shared" si="11"/>
        <v>15463704</v>
      </c>
    </row>
    <row r="18" spans="1:50" ht="24" customHeight="1">
      <c r="A18" s="124">
        <v>4</v>
      </c>
      <c r="B18" s="125" t="s">
        <v>14</v>
      </c>
      <c r="C18" s="113">
        <v>3614118.65</v>
      </c>
      <c r="D18" s="113">
        <v>936375.85</v>
      </c>
      <c r="E18" s="113">
        <v>2772285</v>
      </c>
      <c r="F18" s="113">
        <v>2772285.7</v>
      </c>
      <c r="G18" s="113">
        <v>2</v>
      </c>
      <c r="H18" s="113">
        <f>0</f>
        <v>0</v>
      </c>
      <c r="I18" s="113">
        <f>0</f>
        <v>0</v>
      </c>
      <c r="J18" s="124">
        <v>4</v>
      </c>
      <c r="K18" s="125" t="s">
        <v>14</v>
      </c>
      <c r="L18" s="113">
        <f>0</f>
        <v>0</v>
      </c>
      <c r="M18" s="113">
        <f>0</f>
        <v>0</v>
      </c>
      <c r="N18" s="113">
        <f>0</f>
        <v>0</v>
      </c>
      <c r="O18" s="113">
        <f>0</f>
        <v>0</v>
      </c>
      <c r="P18" s="113">
        <f>0</f>
        <v>0</v>
      </c>
      <c r="Q18" s="113">
        <f>0</f>
        <v>0</v>
      </c>
      <c r="R18" s="113">
        <f>0</f>
        <v>0</v>
      </c>
      <c r="S18" s="124">
        <v>4</v>
      </c>
      <c r="T18" s="125" t="s">
        <v>14</v>
      </c>
      <c r="U18" s="113">
        <f>0</f>
        <v>0</v>
      </c>
      <c r="V18" s="113">
        <f>0</f>
        <v>0</v>
      </c>
      <c r="W18" s="113">
        <f>0</f>
        <v>0</v>
      </c>
      <c r="X18" s="113">
        <f>0</f>
        <v>0</v>
      </c>
      <c r="Y18" s="113">
        <f>0</f>
        <v>0</v>
      </c>
      <c r="Z18" s="113">
        <f>0</f>
        <v>0</v>
      </c>
      <c r="AA18" s="113">
        <f>0</f>
        <v>0</v>
      </c>
      <c r="AB18" s="124">
        <v>4</v>
      </c>
      <c r="AC18" s="125" t="s">
        <v>14</v>
      </c>
      <c r="AD18" s="113">
        <f>0</f>
        <v>0</v>
      </c>
      <c r="AE18" s="113">
        <f>0</f>
        <v>0</v>
      </c>
      <c r="AF18" s="113">
        <f>0</f>
        <v>0</v>
      </c>
      <c r="AG18" s="113">
        <f>0</f>
        <v>0</v>
      </c>
      <c r="AH18" s="113">
        <f>0</f>
        <v>0</v>
      </c>
      <c r="AI18" s="113">
        <f>0</f>
        <v>0</v>
      </c>
      <c r="AJ18" s="113">
        <f>0</f>
        <v>0</v>
      </c>
      <c r="AK18" s="124">
        <v>4</v>
      </c>
      <c r="AL18" s="125" t="s">
        <v>14</v>
      </c>
      <c r="AM18" s="113">
        <f>0</f>
        <v>0</v>
      </c>
      <c r="AN18" s="113">
        <f>0</f>
        <v>0</v>
      </c>
      <c r="AO18" s="113">
        <f>0</f>
        <v>0</v>
      </c>
      <c r="AP18" s="113">
        <f>0</f>
        <v>0</v>
      </c>
      <c r="AQ18" s="113">
        <f>0</f>
        <v>0</v>
      </c>
      <c r="AR18" s="113">
        <f>0</f>
        <v>0</v>
      </c>
      <c r="AS18" s="113">
        <f>0</f>
        <v>0</v>
      </c>
      <c r="AT18" s="124">
        <v>4</v>
      </c>
      <c r="AU18" s="125" t="s">
        <v>14</v>
      </c>
      <c r="AV18" s="113">
        <f>0</f>
        <v>0</v>
      </c>
      <c r="AW18" s="113">
        <f>0</f>
        <v>0</v>
      </c>
      <c r="AX18" s="113">
        <f>0</f>
        <v>0</v>
      </c>
    </row>
    <row r="19" spans="1:50" ht="12" customHeight="1">
      <c r="A19" s="126" t="s">
        <v>56</v>
      </c>
      <c r="B19" s="127" t="s">
        <v>15</v>
      </c>
      <c r="C19" s="115">
        <v>3614118.65</v>
      </c>
      <c r="D19" s="115">
        <v>936375.85</v>
      </c>
      <c r="E19" s="115">
        <v>0</v>
      </c>
      <c r="F19" s="115">
        <v>269888.11</v>
      </c>
      <c r="G19" s="115">
        <f>0</f>
        <v>0</v>
      </c>
      <c r="H19" s="115">
        <f>0</f>
        <v>0</v>
      </c>
      <c r="I19" s="115">
        <f>0</f>
        <v>0</v>
      </c>
      <c r="J19" s="126" t="s">
        <v>56</v>
      </c>
      <c r="K19" s="127" t="s">
        <v>15</v>
      </c>
      <c r="L19" s="115">
        <f>0</f>
        <v>0</v>
      </c>
      <c r="M19" s="115">
        <f>0</f>
        <v>0</v>
      </c>
      <c r="N19" s="115">
        <f>0</f>
        <v>0</v>
      </c>
      <c r="O19" s="115">
        <f>0</f>
        <v>0</v>
      </c>
      <c r="P19" s="115">
        <f>0</f>
        <v>0</v>
      </c>
      <c r="Q19" s="115">
        <f>0</f>
        <v>0</v>
      </c>
      <c r="R19" s="115">
        <f>0</f>
        <v>0</v>
      </c>
      <c r="S19" s="126" t="s">
        <v>56</v>
      </c>
      <c r="T19" s="127" t="s">
        <v>15</v>
      </c>
      <c r="U19" s="115">
        <f>0</f>
        <v>0</v>
      </c>
      <c r="V19" s="115">
        <f>0</f>
        <v>0</v>
      </c>
      <c r="W19" s="115">
        <f>0</f>
        <v>0</v>
      </c>
      <c r="X19" s="115">
        <f>0</f>
        <v>0</v>
      </c>
      <c r="Y19" s="115">
        <f>0</f>
        <v>0</v>
      </c>
      <c r="Z19" s="115">
        <f>0</f>
        <v>0</v>
      </c>
      <c r="AA19" s="115">
        <f>0</f>
        <v>0</v>
      </c>
      <c r="AB19" s="126" t="s">
        <v>56</v>
      </c>
      <c r="AC19" s="127" t="s">
        <v>15</v>
      </c>
      <c r="AD19" s="115">
        <f>0</f>
        <v>0</v>
      </c>
      <c r="AE19" s="115">
        <f>0</f>
        <v>0</v>
      </c>
      <c r="AF19" s="115">
        <f>0</f>
        <v>0</v>
      </c>
      <c r="AG19" s="115">
        <f>0</f>
        <v>0</v>
      </c>
      <c r="AH19" s="115">
        <f>0</f>
        <v>0</v>
      </c>
      <c r="AI19" s="115">
        <f>0</f>
        <v>0</v>
      </c>
      <c r="AJ19" s="115">
        <f>0</f>
        <v>0</v>
      </c>
      <c r="AK19" s="126" t="s">
        <v>56</v>
      </c>
      <c r="AL19" s="127" t="s">
        <v>15</v>
      </c>
      <c r="AM19" s="115">
        <f>0</f>
        <v>0</v>
      </c>
      <c r="AN19" s="115">
        <f>0</f>
        <v>0</v>
      </c>
      <c r="AO19" s="115">
        <f>0</f>
        <v>0</v>
      </c>
      <c r="AP19" s="115">
        <f>0</f>
        <v>0</v>
      </c>
      <c r="AQ19" s="115">
        <f>0</f>
        <v>0</v>
      </c>
      <c r="AR19" s="115">
        <f>0</f>
        <v>0</v>
      </c>
      <c r="AS19" s="115">
        <f>0</f>
        <v>0</v>
      </c>
      <c r="AT19" s="126" t="s">
        <v>56</v>
      </c>
      <c r="AU19" s="127" t="s">
        <v>15</v>
      </c>
      <c r="AV19" s="115">
        <f>0</f>
        <v>0</v>
      </c>
      <c r="AW19" s="115">
        <f>0</f>
        <v>0</v>
      </c>
      <c r="AX19" s="115">
        <f>0</f>
        <v>0</v>
      </c>
    </row>
    <row r="20" spans="1:50" ht="12" customHeight="1">
      <c r="A20" s="124">
        <v>5</v>
      </c>
      <c r="B20" s="125" t="s">
        <v>58</v>
      </c>
      <c r="C20" s="113">
        <f>0</f>
        <v>0</v>
      </c>
      <c r="D20" s="113">
        <f>0</f>
        <v>0</v>
      </c>
      <c r="E20" s="113">
        <f>0</f>
        <v>0</v>
      </c>
      <c r="F20" s="113">
        <f>0</f>
        <v>0</v>
      </c>
      <c r="G20" s="113">
        <f>0</f>
        <v>0</v>
      </c>
      <c r="H20" s="113">
        <f>0</f>
        <v>0</v>
      </c>
      <c r="I20" s="113">
        <f>0</f>
        <v>0</v>
      </c>
      <c r="J20" s="124">
        <v>5</v>
      </c>
      <c r="K20" s="125" t="s">
        <v>58</v>
      </c>
      <c r="L20" s="113">
        <f>0</f>
        <v>0</v>
      </c>
      <c r="M20" s="113">
        <f>0</f>
        <v>0</v>
      </c>
      <c r="N20" s="113">
        <f>0</f>
        <v>0</v>
      </c>
      <c r="O20" s="113">
        <f>0</f>
        <v>0</v>
      </c>
      <c r="P20" s="113">
        <f>0</f>
        <v>0</v>
      </c>
      <c r="Q20" s="113">
        <f>0</f>
        <v>0</v>
      </c>
      <c r="R20" s="113">
        <f>0</f>
        <v>0</v>
      </c>
      <c r="S20" s="124">
        <v>5</v>
      </c>
      <c r="T20" s="125" t="s">
        <v>58</v>
      </c>
      <c r="U20" s="113">
        <f>0</f>
        <v>0</v>
      </c>
      <c r="V20" s="113">
        <f>0</f>
        <v>0</v>
      </c>
      <c r="W20" s="113">
        <f>0</f>
        <v>0</v>
      </c>
      <c r="X20" s="113">
        <f>0</f>
        <v>0</v>
      </c>
      <c r="Y20" s="113">
        <f>0</f>
        <v>0</v>
      </c>
      <c r="Z20" s="113">
        <f>0</f>
        <v>0</v>
      </c>
      <c r="AA20" s="113">
        <f>0</f>
        <v>0</v>
      </c>
      <c r="AB20" s="124">
        <v>5</v>
      </c>
      <c r="AC20" s="125" t="s">
        <v>58</v>
      </c>
      <c r="AD20" s="113">
        <f>0</f>
        <v>0</v>
      </c>
      <c r="AE20" s="113">
        <f>0</f>
        <v>0</v>
      </c>
      <c r="AF20" s="113">
        <f>0</f>
        <v>0</v>
      </c>
      <c r="AG20" s="113">
        <f>0</f>
        <v>0</v>
      </c>
      <c r="AH20" s="113">
        <f>0</f>
        <v>0</v>
      </c>
      <c r="AI20" s="113">
        <f>0</f>
        <v>0</v>
      </c>
      <c r="AJ20" s="113">
        <f>0</f>
        <v>0</v>
      </c>
      <c r="AK20" s="124">
        <v>5</v>
      </c>
      <c r="AL20" s="125" t="s">
        <v>58</v>
      </c>
      <c r="AM20" s="113">
        <f>0</f>
        <v>0</v>
      </c>
      <c r="AN20" s="113">
        <f>0</f>
        <v>0</v>
      </c>
      <c r="AO20" s="113">
        <f>0</f>
        <v>0</v>
      </c>
      <c r="AP20" s="113">
        <f>0</f>
        <v>0</v>
      </c>
      <c r="AQ20" s="113">
        <f>0</f>
        <v>0</v>
      </c>
      <c r="AR20" s="113">
        <f>0</f>
        <v>0</v>
      </c>
      <c r="AS20" s="113">
        <f>0</f>
        <v>0</v>
      </c>
      <c r="AT20" s="124">
        <v>5</v>
      </c>
      <c r="AU20" s="125" t="s">
        <v>58</v>
      </c>
      <c r="AV20" s="113">
        <f>0</f>
        <v>0</v>
      </c>
      <c r="AW20" s="113">
        <f>0</f>
        <v>0</v>
      </c>
      <c r="AX20" s="113">
        <f>0</f>
        <v>0</v>
      </c>
    </row>
    <row r="21" spans="1:50" ht="12" customHeight="1">
      <c r="A21" s="126" t="s">
        <v>59</v>
      </c>
      <c r="B21" s="127" t="s">
        <v>15</v>
      </c>
      <c r="C21" s="115">
        <f>0</f>
        <v>0</v>
      </c>
      <c r="D21" s="115">
        <f>0</f>
        <v>0</v>
      </c>
      <c r="E21" s="115">
        <f>0</f>
        <v>0</v>
      </c>
      <c r="F21" s="115">
        <f>0</f>
        <v>0</v>
      </c>
      <c r="G21" s="115">
        <f>0</f>
        <v>0</v>
      </c>
      <c r="H21" s="115">
        <f>0</f>
        <v>0</v>
      </c>
      <c r="I21" s="115">
        <f>0</f>
        <v>0</v>
      </c>
      <c r="J21" s="126" t="s">
        <v>59</v>
      </c>
      <c r="K21" s="127" t="s">
        <v>15</v>
      </c>
      <c r="L21" s="115">
        <f>0</f>
        <v>0</v>
      </c>
      <c r="M21" s="115">
        <f>0</f>
        <v>0</v>
      </c>
      <c r="N21" s="115">
        <f>0</f>
        <v>0</v>
      </c>
      <c r="O21" s="115">
        <f>0</f>
        <v>0</v>
      </c>
      <c r="P21" s="115">
        <f>0</f>
        <v>0</v>
      </c>
      <c r="Q21" s="115">
        <f>0</f>
        <v>0</v>
      </c>
      <c r="R21" s="115">
        <f>0</f>
        <v>0</v>
      </c>
      <c r="S21" s="126" t="s">
        <v>59</v>
      </c>
      <c r="T21" s="127" t="s">
        <v>15</v>
      </c>
      <c r="U21" s="115">
        <f>0</f>
        <v>0</v>
      </c>
      <c r="V21" s="115">
        <f>0</f>
        <v>0</v>
      </c>
      <c r="W21" s="115">
        <f>0</f>
        <v>0</v>
      </c>
      <c r="X21" s="115">
        <f>0</f>
        <v>0</v>
      </c>
      <c r="Y21" s="115">
        <f>0</f>
        <v>0</v>
      </c>
      <c r="Z21" s="115">
        <f>0</f>
        <v>0</v>
      </c>
      <c r="AA21" s="115">
        <f>0</f>
        <v>0</v>
      </c>
      <c r="AB21" s="126" t="s">
        <v>59</v>
      </c>
      <c r="AC21" s="127" t="s">
        <v>15</v>
      </c>
      <c r="AD21" s="115">
        <f>0</f>
        <v>0</v>
      </c>
      <c r="AE21" s="115">
        <f>0</f>
        <v>0</v>
      </c>
      <c r="AF21" s="115">
        <f>0</f>
        <v>0</v>
      </c>
      <c r="AG21" s="115">
        <f>0</f>
        <v>0</v>
      </c>
      <c r="AH21" s="115">
        <f>0</f>
        <v>0</v>
      </c>
      <c r="AI21" s="115">
        <f>0</f>
        <v>0</v>
      </c>
      <c r="AJ21" s="115">
        <f>0</f>
        <v>0</v>
      </c>
      <c r="AK21" s="126" t="s">
        <v>59</v>
      </c>
      <c r="AL21" s="127" t="s">
        <v>15</v>
      </c>
      <c r="AM21" s="115">
        <f>0</f>
        <v>0</v>
      </c>
      <c r="AN21" s="115">
        <f>0</f>
        <v>0</v>
      </c>
      <c r="AO21" s="115">
        <f>0</f>
        <v>0</v>
      </c>
      <c r="AP21" s="115">
        <f>0</f>
        <v>0</v>
      </c>
      <c r="AQ21" s="115">
        <f>0</f>
        <v>0</v>
      </c>
      <c r="AR21" s="115">
        <f>0</f>
        <v>0</v>
      </c>
      <c r="AS21" s="115">
        <f>0</f>
        <v>0</v>
      </c>
      <c r="AT21" s="126" t="s">
        <v>59</v>
      </c>
      <c r="AU21" s="127" t="s">
        <v>15</v>
      </c>
      <c r="AV21" s="115">
        <f>0</f>
        <v>0</v>
      </c>
      <c r="AW21" s="115">
        <f>0</f>
        <v>0</v>
      </c>
      <c r="AX21" s="115">
        <f>0</f>
        <v>0</v>
      </c>
    </row>
    <row r="22" spans="1:50" ht="12" customHeight="1">
      <c r="A22" s="123">
        <v>6</v>
      </c>
      <c r="B22" s="119" t="s">
        <v>60</v>
      </c>
      <c r="C22" s="117">
        <f>SUM(C17,C18,C20)</f>
        <v>14192728.539999997</v>
      </c>
      <c r="D22" s="117">
        <f t="shared" ref="D22:I22" si="12">SUM(D17,D18,D20)</f>
        <v>10219776.659999998</v>
      </c>
      <c r="E22" s="117">
        <f t="shared" si="12"/>
        <v>59700913</v>
      </c>
      <c r="F22" s="117">
        <f t="shared" si="12"/>
        <v>10885421.309999999</v>
      </c>
      <c r="G22" s="117">
        <f t="shared" si="12"/>
        <v>31045898</v>
      </c>
      <c r="H22" s="117">
        <f t="shared" si="12"/>
        <v>17247399</v>
      </c>
      <c r="I22" s="117">
        <f t="shared" si="12"/>
        <v>12972001</v>
      </c>
      <c r="J22" s="123">
        <v>6</v>
      </c>
      <c r="K22" s="119" t="s">
        <v>60</v>
      </c>
      <c r="L22" s="117">
        <f t="shared" ref="L22:R22" si="13">SUM(L17,L18,L20)</f>
        <v>10548186</v>
      </c>
      <c r="M22" s="117">
        <f t="shared" si="13"/>
        <v>10765836</v>
      </c>
      <c r="N22" s="117">
        <f t="shared" si="13"/>
        <v>10937110</v>
      </c>
      <c r="O22" s="117">
        <f t="shared" si="13"/>
        <v>11204043</v>
      </c>
      <c r="P22" s="117">
        <f t="shared" si="13"/>
        <v>11477382</v>
      </c>
      <c r="Q22" s="117">
        <f t="shared" si="13"/>
        <v>11757281</v>
      </c>
      <c r="R22" s="117">
        <f t="shared" si="13"/>
        <v>12043898</v>
      </c>
      <c r="S22" s="123">
        <v>6</v>
      </c>
      <c r="T22" s="119" t="s">
        <v>60</v>
      </c>
      <c r="U22" s="117">
        <f t="shared" ref="U22:AA22" si="14">SUM(U17,U18,U20)</f>
        <v>12337394</v>
      </c>
      <c r="V22" s="117">
        <f t="shared" si="14"/>
        <v>12625411</v>
      </c>
      <c r="W22" s="117">
        <f t="shared" si="14"/>
        <v>12920053</v>
      </c>
      <c r="X22" s="117">
        <f t="shared" si="14"/>
        <v>13221472</v>
      </c>
      <c r="Y22" s="117">
        <f t="shared" si="14"/>
        <v>13529823</v>
      </c>
      <c r="Z22" s="117">
        <f t="shared" si="14"/>
        <v>13845266</v>
      </c>
      <c r="AA22" s="117">
        <f t="shared" si="14"/>
        <v>14153934</v>
      </c>
      <c r="AB22" s="123">
        <v>6</v>
      </c>
      <c r="AC22" s="119" t="s">
        <v>60</v>
      </c>
      <c r="AD22" s="117">
        <f t="shared" ref="AD22:AJ22" si="15">SUM(AD17,AD18,AD20)</f>
        <v>14469393</v>
      </c>
      <c r="AE22" s="117">
        <f t="shared" si="15"/>
        <v>14791792</v>
      </c>
      <c r="AF22" s="117">
        <f t="shared" si="15"/>
        <v>15121284</v>
      </c>
      <c r="AG22" s="117">
        <f t="shared" si="15"/>
        <v>15458025</v>
      </c>
      <c r="AH22" s="117">
        <f t="shared" si="15"/>
        <v>15786530</v>
      </c>
      <c r="AI22" s="117">
        <f t="shared" si="15"/>
        <v>16121934</v>
      </c>
      <c r="AJ22" s="117">
        <f t="shared" si="15"/>
        <v>16464382</v>
      </c>
      <c r="AK22" s="123">
        <v>6</v>
      </c>
      <c r="AL22" s="119" t="s">
        <v>60</v>
      </c>
      <c r="AM22" s="117">
        <f t="shared" ref="AM22:AS22" si="16">SUM(AM17,AM18,AM20)</f>
        <v>16814021</v>
      </c>
      <c r="AN22" s="117">
        <f t="shared" si="16"/>
        <v>17171003</v>
      </c>
      <c r="AO22" s="117">
        <f t="shared" si="16"/>
        <v>13438125</v>
      </c>
      <c r="AP22" s="117">
        <f t="shared" si="16"/>
        <v>13710590</v>
      </c>
      <c r="AQ22" s="117">
        <f t="shared" si="16"/>
        <v>13988503</v>
      </c>
      <c r="AR22" s="117">
        <f t="shared" si="16"/>
        <v>14271975</v>
      </c>
      <c r="AS22" s="117">
        <f t="shared" si="16"/>
        <v>14561117</v>
      </c>
      <c r="AT22" s="123">
        <v>6</v>
      </c>
      <c r="AU22" s="119" t="s">
        <v>60</v>
      </c>
      <c r="AV22" s="117">
        <f t="shared" ref="AV22:AX22" si="17">SUM(AV17,AV18,AV20)</f>
        <v>14856041</v>
      </c>
      <c r="AW22" s="117">
        <f t="shared" si="17"/>
        <v>15156864</v>
      </c>
      <c r="AX22" s="117">
        <f t="shared" si="17"/>
        <v>15463704</v>
      </c>
    </row>
    <row r="23" spans="1:50" ht="12" customHeight="1">
      <c r="A23" s="124">
        <v>7</v>
      </c>
      <c r="B23" s="125" t="s">
        <v>6</v>
      </c>
      <c r="C23" s="113">
        <f>SUM(C24,C26)</f>
        <v>4443974.5999999996</v>
      </c>
      <c r="D23" s="113">
        <f t="shared" ref="D23:I23" si="18">SUM(D24,D26)</f>
        <v>4439168.74</v>
      </c>
      <c r="E23" s="113">
        <f t="shared" si="18"/>
        <v>5835990</v>
      </c>
      <c r="F23" s="113">
        <f t="shared" si="18"/>
        <v>5517260.6200000001</v>
      </c>
      <c r="G23" s="113">
        <f t="shared" si="18"/>
        <v>6615402</v>
      </c>
      <c r="H23" s="113">
        <f t="shared" si="18"/>
        <v>6413589</v>
      </c>
      <c r="I23" s="113">
        <f t="shared" si="18"/>
        <v>6059069</v>
      </c>
      <c r="J23" s="124">
        <v>7</v>
      </c>
      <c r="K23" s="125" t="s">
        <v>6</v>
      </c>
      <c r="L23" s="113">
        <f t="shared" ref="L23:R23" si="19">SUM(L24,L26)</f>
        <v>4856215</v>
      </c>
      <c r="M23" s="113">
        <f t="shared" si="19"/>
        <v>3508586.75</v>
      </c>
      <c r="N23" s="113">
        <f t="shared" si="19"/>
        <v>1342670</v>
      </c>
      <c r="O23" s="113">
        <f t="shared" si="19"/>
        <v>958147</v>
      </c>
      <c r="P23" s="113">
        <f t="shared" si="19"/>
        <v>514140</v>
      </c>
      <c r="Q23" s="113">
        <f t="shared" si="19"/>
        <v>455770</v>
      </c>
      <c r="R23" s="113">
        <f t="shared" si="19"/>
        <v>394870</v>
      </c>
      <c r="S23" s="124">
        <v>7</v>
      </c>
      <c r="T23" s="125" t="s">
        <v>6</v>
      </c>
      <c r="U23" s="113">
        <f t="shared" ref="U23:AA23" si="20">SUM(U24,U26)</f>
        <v>335230</v>
      </c>
      <c r="V23" s="113">
        <f t="shared" si="20"/>
        <v>275600</v>
      </c>
      <c r="W23" s="113">
        <f t="shared" si="20"/>
        <v>216570</v>
      </c>
      <c r="X23" s="113">
        <f t="shared" si="20"/>
        <v>156000</v>
      </c>
      <c r="Y23" s="113">
        <f t="shared" si="20"/>
        <v>96690</v>
      </c>
      <c r="Z23" s="113">
        <f t="shared" si="20"/>
        <v>37050</v>
      </c>
      <c r="AA23" s="113">
        <f t="shared" si="20"/>
        <v>0</v>
      </c>
      <c r="AB23" s="124">
        <v>7</v>
      </c>
      <c r="AC23" s="125" t="s">
        <v>6</v>
      </c>
      <c r="AD23" s="113">
        <f t="shared" ref="AD23:AJ23" si="21">SUM(AD24,AD26)</f>
        <v>0</v>
      </c>
      <c r="AE23" s="113">
        <f t="shared" si="21"/>
        <v>0</v>
      </c>
      <c r="AF23" s="113">
        <f t="shared" si="21"/>
        <v>0</v>
      </c>
      <c r="AG23" s="113">
        <f t="shared" si="21"/>
        <v>0</v>
      </c>
      <c r="AH23" s="113">
        <f t="shared" si="21"/>
        <v>0</v>
      </c>
      <c r="AI23" s="113">
        <f t="shared" si="21"/>
        <v>0</v>
      </c>
      <c r="AJ23" s="113">
        <f t="shared" si="21"/>
        <v>0</v>
      </c>
      <c r="AK23" s="124">
        <v>7</v>
      </c>
      <c r="AL23" s="125" t="s">
        <v>6</v>
      </c>
      <c r="AM23" s="113">
        <f t="shared" ref="AM23:AS23" si="22">SUM(AM24,AM26)</f>
        <v>0</v>
      </c>
      <c r="AN23" s="113">
        <f t="shared" si="22"/>
        <v>0</v>
      </c>
      <c r="AO23" s="113">
        <f t="shared" si="22"/>
        <v>0</v>
      </c>
      <c r="AP23" s="113">
        <f t="shared" si="22"/>
        <v>0</v>
      </c>
      <c r="AQ23" s="113">
        <f t="shared" si="22"/>
        <v>0</v>
      </c>
      <c r="AR23" s="113">
        <f t="shared" si="22"/>
        <v>0</v>
      </c>
      <c r="AS23" s="113">
        <f t="shared" si="22"/>
        <v>0</v>
      </c>
      <c r="AT23" s="124">
        <v>7</v>
      </c>
      <c r="AU23" s="125" t="s">
        <v>6</v>
      </c>
      <c r="AV23" s="113">
        <f t="shared" ref="AV23:AX23" si="23">SUM(AV24,AV26)</f>
        <v>0</v>
      </c>
      <c r="AW23" s="113">
        <f t="shared" si="23"/>
        <v>0</v>
      </c>
      <c r="AX23" s="113">
        <f t="shared" si="23"/>
        <v>0</v>
      </c>
    </row>
    <row r="24" spans="1:50" ht="24" customHeight="1">
      <c r="A24" s="130" t="s">
        <v>61</v>
      </c>
      <c r="B24" s="118" t="s">
        <v>98</v>
      </c>
      <c r="C24" s="114">
        <v>3719141</v>
      </c>
      <c r="D24" s="114">
        <v>3684041</v>
      </c>
      <c r="E24" s="114">
        <v>4867880</v>
      </c>
      <c r="F24" s="114">
        <v>4533297.59</v>
      </c>
      <c r="G24" s="114">
        <f>4596402</f>
        <v>4596402</v>
      </c>
      <c r="H24" s="114">
        <f>5260929</f>
        <v>5260929</v>
      </c>
      <c r="I24" s="114">
        <f>4669329</f>
        <v>4669329</v>
      </c>
      <c r="J24" s="130" t="s">
        <v>61</v>
      </c>
      <c r="K24" s="118" t="s">
        <v>98</v>
      </c>
      <c r="L24" s="114">
        <f>3762749</f>
        <v>3762749</v>
      </c>
      <c r="M24" s="114">
        <f>2638996.75</f>
        <v>2638996.75</v>
      </c>
      <c r="N24" s="114">
        <f>669695</f>
        <v>669695</v>
      </c>
      <c r="O24" s="114">
        <f>375595</f>
        <v>375595</v>
      </c>
      <c r="P24" s="114">
        <f>0</f>
        <v>0</v>
      </c>
      <c r="Q24" s="114">
        <f>0</f>
        <v>0</v>
      </c>
      <c r="R24" s="114">
        <f>0</f>
        <v>0</v>
      </c>
      <c r="S24" s="130" t="s">
        <v>61</v>
      </c>
      <c r="T24" s="118" t="s">
        <v>98</v>
      </c>
      <c r="U24" s="114">
        <f>0</f>
        <v>0</v>
      </c>
      <c r="V24" s="114">
        <f>0</f>
        <v>0</v>
      </c>
      <c r="W24" s="114">
        <f>0</f>
        <v>0</v>
      </c>
      <c r="X24" s="114">
        <f>0</f>
        <v>0</v>
      </c>
      <c r="Y24" s="114">
        <f>0</f>
        <v>0</v>
      </c>
      <c r="Z24" s="114">
        <f>0</f>
        <v>0</v>
      </c>
      <c r="AA24" s="114">
        <f>0</f>
        <v>0</v>
      </c>
      <c r="AB24" s="130" t="s">
        <v>61</v>
      </c>
      <c r="AC24" s="118" t="s">
        <v>98</v>
      </c>
      <c r="AD24" s="114">
        <f>0</f>
        <v>0</v>
      </c>
      <c r="AE24" s="114">
        <f>0</f>
        <v>0</v>
      </c>
      <c r="AF24" s="114">
        <f>0</f>
        <v>0</v>
      </c>
      <c r="AG24" s="114">
        <f>0</f>
        <v>0</v>
      </c>
      <c r="AH24" s="114">
        <f>0</f>
        <v>0</v>
      </c>
      <c r="AI24" s="114">
        <f>0</f>
        <v>0</v>
      </c>
      <c r="AJ24" s="114">
        <f>0</f>
        <v>0</v>
      </c>
      <c r="AK24" s="130" t="s">
        <v>61</v>
      </c>
      <c r="AL24" s="118" t="s">
        <v>98</v>
      </c>
      <c r="AM24" s="114">
        <f>0</f>
        <v>0</v>
      </c>
      <c r="AN24" s="114">
        <f>0</f>
        <v>0</v>
      </c>
      <c r="AO24" s="114">
        <f>0</f>
        <v>0</v>
      </c>
      <c r="AP24" s="114">
        <f>0</f>
        <v>0</v>
      </c>
      <c r="AQ24" s="114">
        <f>0</f>
        <v>0</v>
      </c>
      <c r="AR24" s="114">
        <f>0</f>
        <v>0</v>
      </c>
      <c r="AS24" s="114">
        <f>0</f>
        <v>0</v>
      </c>
      <c r="AT24" s="130" t="s">
        <v>61</v>
      </c>
      <c r="AU24" s="118" t="s">
        <v>98</v>
      </c>
      <c r="AV24" s="114">
        <f>0</f>
        <v>0</v>
      </c>
      <c r="AW24" s="114">
        <f>0</f>
        <v>0</v>
      </c>
      <c r="AX24" s="114">
        <f>0</f>
        <v>0</v>
      </c>
    </row>
    <row r="25" spans="1:50" ht="24" customHeight="1">
      <c r="A25" s="130" t="s">
        <v>63</v>
      </c>
      <c r="B25" s="116" t="s">
        <v>96</v>
      </c>
      <c r="C25" s="114">
        <f>0</f>
        <v>0</v>
      </c>
      <c r="D25" s="114">
        <v>0</v>
      </c>
      <c r="E25" s="114">
        <f>0</f>
        <v>0</v>
      </c>
      <c r="F25" s="114">
        <f>0</f>
        <v>0</v>
      </c>
      <c r="G25" s="114">
        <f>0</f>
        <v>0</v>
      </c>
      <c r="H25" s="114">
        <f>0</f>
        <v>0</v>
      </c>
      <c r="I25" s="114">
        <f>0</f>
        <v>0</v>
      </c>
      <c r="J25" s="130" t="s">
        <v>63</v>
      </c>
      <c r="K25" s="116" t="s">
        <v>96</v>
      </c>
      <c r="L25" s="114">
        <f>0</f>
        <v>0</v>
      </c>
      <c r="M25" s="114">
        <f>0</f>
        <v>0</v>
      </c>
      <c r="N25" s="114">
        <f>0</f>
        <v>0</v>
      </c>
      <c r="O25" s="114">
        <f>0</f>
        <v>0</v>
      </c>
      <c r="P25" s="114">
        <f>0</f>
        <v>0</v>
      </c>
      <c r="Q25" s="114">
        <f>0</f>
        <v>0</v>
      </c>
      <c r="R25" s="114">
        <f>0</f>
        <v>0</v>
      </c>
      <c r="S25" s="130" t="s">
        <v>63</v>
      </c>
      <c r="T25" s="116" t="s">
        <v>96</v>
      </c>
      <c r="U25" s="114">
        <f>0</f>
        <v>0</v>
      </c>
      <c r="V25" s="114">
        <f>0</f>
        <v>0</v>
      </c>
      <c r="W25" s="114">
        <f>0</f>
        <v>0</v>
      </c>
      <c r="X25" s="114">
        <f>0</f>
        <v>0</v>
      </c>
      <c r="Y25" s="114">
        <f>0</f>
        <v>0</v>
      </c>
      <c r="Z25" s="114">
        <f>0</f>
        <v>0</v>
      </c>
      <c r="AA25" s="114">
        <f>0</f>
        <v>0</v>
      </c>
      <c r="AB25" s="130" t="s">
        <v>63</v>
      </c>
      <c r="AC25" s="116" t="s">
        <v>96</v>
      </c>
      <c r="AD25" s="114">
        <f>0</f>
        <v>0</v>
      </c>
      <c r="AE25" s="114">
        <f>0</f>
        <v>0</v>
      </c>
      <c r="AF25" s="114">
        <f>0</f>
        <v>0</v>
      </c>
      <c r="AG25" s="114">
        <f>0</f>
        <v>0</v>
      </c>
      <c r="AH25" s="114">
        <f>0</f>
        <v>0</v>
      </c>
      <c r="AI25" s="114">
        <f>0</f>
        <v>0</v>
      </c>
      <c r="AJ25" s="114">
        <f>0</f>
        <v>0</v>
      </c>
      <c r="AK25" s="130" t="s">
        <v>63</v>
      </c>
      <c r="AL25" s="116" t="s">
        <v>96</v>
      </c>
      <c r="AM25" s="114">
        <f>0</f>
        <v>0</v>
      </c>
      <c r="AN25" s="114">
        <f>0</f>
        <v>0</v>
      </c>
      <c r="AO25" s="114">
        <f>0</f>
        <v>0</v>
      </c>
      <c r="AP25" s="114">
        <f>0</f>
        <v>0</v>
      </c>
      <c r="AQ25" s="114">
        <f>0</f>
        <v>0</v>
      </c>
      <c r="AR25" s="114">
        <f>0</f>
        <v>0</v>
      </c>
      <c r="AS25" s="114">
        <f>0</f>
        <v>0</v>
      </c>
      <c r="AT25" s="130" t="s">
        <v>63</v>
      </c>
      <c r="AU25" s="116" t="s">
        <v>96</v>
      </c>
      <c r="AV25" s="114">
        <f>0</f>
        <v>0</v>
      </c>
      <c r="AW25" s="114">
        <f>0</f>
        <v>0</v>
      </c>
      <c r="AX25" s="114">
        <f>0</f>
        <v>0</v>
      </c>
    </row>
    <row r="26" spans="1:50" ht="12" customHeight="1">
      <c r="A26" s="130" t="s">
        <v>65</v>
      </c>
      <c r="B26" s="118" t="s">
        <v>99</v>
      </c>
      <c r="C26" s="114">
        <v>724833.6</v>
      </c>
      <c r="D26" s="114">
        <v>755127.74</v>
      </c>
      <c r="E26" s="114">
        <v>968110</v>
      </c>
      <c r="F26" s="114">
        <v>983963.03</v>
      </c>
      <c r="G26" s="114">
        <v>2019000</v>
      </c>
      <c r="H26" s="114">
        <f>1152660</f>
        <v>1152660</v>
      </c>
      <c r="I26" s="114">
        <f>1389740</f>
        <v>1389740</v>
      </c>
      <c r="J26" s="130" t="s">
        <v>65</v>
      </c>
      <c r="K26" s="118" t="s">
        <v>99</v>
      </c>
      <c r="L26" s="114">
        <f>1093466</f>
        <v>1093466</v>
      </c>
      <c r="M26" s="114">
        <f>869590</f>
        <v>869590</v>
      </c>
      <c r="N26" s="114">
        <f>672975</f>
        <v>672975</v>
      </c>
      <c r="O26" s="114">
        <f>582552</f>
        <v>582552</v>
      </c>
      <c r="P26" s="114">
        <f>514140</f>
        <v>514140</v>
      </c>
      <c r="Q26" s="114">
        <f>455770</f>
        <v>455770</v>
      </c>
      <c r="R26" s="114">
        <f>394870</f>
        <v>394870</v>
      </c>
      <c r="S26" s="130" t="s">
        <v>65</v>
      </c>
      <c r="T26" s="118" t="s">
        <v>99</v>
      </c>
      <c r="U26" s="114">
        <f>335230</f>
        <v>335230</v>
      </c>
      <c r="V26" s="114">
        <f>275600</f>
        <v>275600</v>
      </c>
      <c r="W26" s="114">
        <f>216570</f>
        <v>216570</v>
      </c>
      <c r="X26" s="114">
        <f>156000</f>
        <v>156000</v>
      </c>
      <c r="Y26" s="114">
        <f>96690</f>
        <v>96690</v>
      </c>
      <c r="Z26" s="114">
        <f>37050</f>
        <v>37050</v>
      </c>
      <c r="AA26" s="114">
        <f>0</f>
        <v>0</v>
      </c>
      <c r="AB26" s="130" t="s">
        <v>65</v>
      </c>
      <c r="AC26" s="118" t="s">
        <v>99</v>
      </c>
      <c r="AD26" s="114">
        <f>0</f>
        <v>0</v>
      </c>
      <c r="AE26" s="114">
        <f>0</f>
        <v>0</v>
      </c>
      <c r="AF26" s="114">
        <f>0</f>
        <v>0</v>
      </c>
      <c r="AG26" s="114">
        <f>0</f>
        <v>0</v>
      </c>
      <c r="AH26" s="114">
        <f>0</f>
        <v>0</v>
      </c>
      <c r="AI26" s="114">
        <f>0</f>
        <v>0</v>
      </c>
      <c r="AJ26" s="114">
        <f>0</f>
        <v>0</v>
      </c>
      <c r="AK26" s="130" t="s">
        <v>65</v>
      </c>
      <c r="AL26" s="118" t="s">
        <v>99</v>
      </c>
      <c r="AM26" s="114">
        <f>0</f>
        <v>0</v>
      </c>
      <c r="AN26" s="114">
        <f>0</f>
        <v>0</v>
      </c>
      <c r="AO26" s="114">
        <f>0</f>
        <v>0</v>
      </c>
      <c r="AP26" s="114">
        <f>0</f>
        <v>0</v>
      </c>
      <c r="AQ26" s="114">
        <f>0</f>
        <v>0</v>
      </c>
      <c r="AR26" s="114">
        <f>0</f>
        <v>0</v>
      </c>
      <c r="AS26" s="114">
        <f>0</f>
        <v>0</v>
      </c>
      <c r="AT26" s="130" t="s">
        <v>65</v>
      </c>
      <c r="AU26" s="118" t="s">
        <v>99</v>
      </c>
      <c r="AV26" s="114">
        <f>0</f>
        <v>0</v>
      </c>
      <c r="AW26" s="114">
        <f>0</f>
        <v>0</v>
      </c>
      <c r="AX26" s="114">
        <f>0</f>
        <v>0</v>
      </c>
    </row>
    <row r="27" spans="1:50" ht="12" customHeight="1">
      <c r="A27" s="126" t="s">
        <v>67</v>
      </c>
      <c r="B27" s="189" t="s">
        <v>97</v>
      </c>
      <c r="C27" s="115">
        <v>724833.6</v>
      </c>
      <c r="D27" s="115">
        <v>755127.74</v>
      </c>
      <c r="E27" s="115">
        <v>968110</v>
      </c>
      <c r="F27" s="115">
        <v>983963.03</v>
      </c>
      <c r="G27" s="115">
        <v>2019000</v>
      </c>
      <c r="H27" s="115">
        <v>1152660</v>
      </c>
      <c r="I27" s="115">
        <v>1389740</v>
      </c>
      <c r="J27" s="126" t="s">
        <v>67</v>
      </c>
      <c r="K27" s="189" t="s">
        <v>97</v>
      </c>
      <c r="L27" s="115">
        <v>1093466</v>
      </c>
      <c r="M27" s="115">
        <v>869590</v>
      </c>
      <c r="N27" s="115">
        <v>672975</v>
      </c>
      <c r="O27" s="115">
        <v>582552</v>
      </c>
      <c r="P27" s="115">
        <v>514140</v>
      </c>
      <c r="Q27" s="115">
        <v>455770</v>
      </c>
      <c r="R27" s="115">
        <v>394870</v>
      </c>
      <c r="S27" s="126" t="s">
        <v>67</v>
      </c>
      <c r="T27" s="189" t="s">
        <v>97</v>
      </c>
      <c r="U27" s="115">
        <v>335230</v>
      </c>
      <c r="V27" s="115">
        <v>275600</v>
      </c>
      <c r="W27" s="115">
        <v>216570</v>
      </c>
      <c r="X27" s="115">
        <v>156000</v>
      </c>
      <c r="Y27" s="115">
        <v>96690</v>
      </c>
      <c r="Z27" s="115">
        <v>37050</v>
      </c>
      <c r="AA27" s="115">
        <f>0</f>
        <v>0</v>
      </c>
      <c r="AB27" s="126" t="s">
        <v>67</v>
      </c>
      <c r="AC27" s="189" t="s">
        <v>97</v>
      </c>
      <c r="AD27" s="115">
        <f>0</f>
        <v>0</v>
      </c>
      <c r="AE27" s="115">
        <f>0</f>
        <v>0</v>
      </c>
      <c r="AF27" s="115">
        <f>0</f>
        <v>0</v>
      </c>
      <c r="AG27" s="115">
        <f>0</f>
        <v>0</v>
      </c>
      <c r="AH27" s="115">
        <f>0</f>
        <v>0</v>
      </c>
      <c r="AI27" s="115">
        <f>0</f>
        <v>0</v>
      </c>
      <c r="AJ27" s="115">
        <f>0</f>
        <v>0</v>
      </c>
      <c r="AK27" s="126" t="s">
        <v>67</v>
      </c>
      <c r="AL27" s="189" t="s">
        <v>97</v>
      </c>
      <c r="AM27" s="115">
        <f>0</f>
        <v>0</v>
      </c>
      <c r="AN27" s="115">
        <f>0</f>
        <v>0</v>
      </c>
      <c r="AO27" s="115">
        <f>0</f>
        <v>0</v>
      </c>
      <c r="AP27" s="115">
        <f>0</f>
        <v>0</v>
      </c>
      <c r="AQ27" s="115">
        <f>0</f>
        <v>0</v>
      </c>
      <c r="AR27" s="115">
        <f>0</f>
        <v>0</v>
      </c>
      <c r="AS27" s="115">
        <f>0</f>
        <v>0</v>
      </c>
      <c r="AT27" s="126" t="s">
        <v>67</v>
      </c>
      <c r="AU27" s="189" t="s">
        <v>97</v>
      </c>
      <c r="AV27" s="115">
        <f>0</f>
        <v>0</v>
      </c>
      <c r="AW27" s="115">
        <f>0</f>
        <v>0</v>
      </c>
      <c r="AX27" s="115">
        <f>0</f>
        <v>0</v>
      </c>
    </row>
    <row r="28" spans="1:50" ht="12" customHeight="1">
      <c r="A28" s="123">
        <v>8</v>
      </c>
      <c r="B28" s="119" t="s">
        <v>69</v>
      </c>
      <c r="C28" s="117">
        <f>0</f>
        <v>0</v>
      </c>
      <c r="D28" s="117">
        <f>0</f>
        <v>0</v>
      </c>
      <c r="E28" s="117">
        <f>0</f>
        <v>0</v>
      </c>
      <c r="F28" s="117">
        <f>0</f>
        <v>0</v>
      </c>
      <c r="G28" s="117">
        <f>0</f>
        <v>0</v>
      </c>
      <c r="H28" s="117">
        <f>0</f>
        <v>0</v>
      </c>
      <c r="I28" s="117">
        <f>0</f>
        <v>0</v>
      </c>
      <c r="J28" s="123">
        <v>8</v>
      </c>
      <c r="K28" s="119" t="s">
        <v>69</v>
      </c>
      <c r="L28" s="117">
        <f>0</f>
        <v>0</v>
      </c>
      <c r="M28" s="117">
        <f>0</f>
        <v>0</v>
      </c>
      <c r="N28" s="117">
        <f>0</f>
        <v>0</v>
      </c>
      <c r="O28" s="117">
        <f>0</f>
        <v>0</v>
      </c>
      <c r="P28" s="117">
        <f>0</f>
        <v>0</v>
      </c>
      <c r="Q28" s="117">
        <f>0</f>
        <v>0</v>
      </c>
      <c r="R28" s="117">
        <f>0</f>
        <v>0</v>
      </c>
      <c r="S28" s="123">
        <v>8</v>
      </c>
      <c r="T28" s="119" t="s">
        <v>69</v>
      </c>
      <c r="U28" s="117">
        <f>0</f>
        <v>0</v>
      </c>
      <c r="V28" s="117">
        <f>0</f>
        <v>0</v>
      </c>
      <c r="W28" s="117">
        <f>0</f>
        <v>0</v>
      </c>
      <c r="X28" s="117">
        <f>0</f>
        <v>0</v>
      </c>
      <c r="Y28" s="117">
        <f>0</f>
        <v>0</v>
      </c>
      <c r="Z28" s="117">
        <f>0</f>
        <v>0</v>
      </c>
      <c r="AA28" s="117">
        <f>0</f>
        <v>0</v>
      </c>
      <c r="AB28" s="123">
        <v>8</v>
      </c>
      <c r="AC28" s="119" t="s">
        <v>69</v>
      </c>
      <c r="AD28" s="117">
        <f>0</f>
        <v>0</v>
      </c>
      <c r="AE28" s="117">
        <f>0</f>
        <v>0</v>
      </c>
      <c r="AF28" s="117">
        <f>0</f>
        <v>0</v>
      </c>
      <c r="AG28" s="117">
        <f>0</f>
        <v>0</v>
      </c>
      <c r="AH28" s="117">
        <f>0</f>
        <v>0</v>
      </c>
      <c r="AI28" s="117">
        <f>0</f>
        <v>0</v>
      </c>
      <c r="AJ28" s="117">
        <f>0</f>
        <v>0</v>
      </c>
      <c r="AK28" s="123">
        <v>8</v>
      </c>
      <c r="AL28" s="119" t="s">
        <v>69</v>
      </c>
      <c r="AM28" s="117">
        <f>0</f>
        <v>0</v>
      </c>
      <c r="AN28" s="117">
        <f>0</f>
        <v>0</v>
      </c>
      <c r="AO28" s="117">
        <f>0</f>
        <v>0</v>
      </c>
      <c r="AP28" s="117">
        <f>0</f>
        <v>0</v>
      </c>
      <c r="AQ28" s="117">
        <f>0</f>
        <v>0</v>
      </c>
      <c r="AR28" s="117">
        <f>0</f>
        <v>0</v>
      </c>
      <c r="AS28" s="117">
        <f>0</f>
        <v>0</v>
      </c>
      <c r="AT28" s="123">
        <v>8</v>
      </c>
      <c r="AU28" s="119" t="s">
        <v>69</v>
      </c>
      <c r="AV28" s="117">
        <f>0</f>
        <v>0</v>
      </c>
      <c r="AW28" s="117">
        <f>0</f>
        <v>0</v>
      </c>
      <c r="AX28" s="117">
        <f>0</f>
        <v>0</v>
      </c>
    </row>
    <row r="29" spans="1:50" ht="12" customHeight="1">
      <c r="A29" s="123">
        <v>9</v>
      </c>
      <c r="B29" s="119" t="s">
        <v>70</v>
      </c>
      <c r="C29" s="117">
        <f>SUM(C22-C23-C28)</f>
        <v>9748753.9399999976</v>
      </c>
      <c r="D29" s="117">
        <f t="shared" ref="D29:I29" si="24">SUM(D22-D23-D28)</f>
        <v>5780607.9199999981</v>
      </c>
      <c r="E29" s="117">
        <f t="shared" si="24"/>
        <v>53864923</v>
      </c>
      <c r="F29" s="117">
        <f t="shared" si="24"/>
        <v>5368160.6899999985</v>
      </c>
      <c r="G29" s="117">
        <f t="shared" si="24"/>
        <v>24430496</v>
      </c>
      <c r="H29" s="117">
        <f t="shared" si="24"/>
        <v>10833810</v>
      </c>
      <c r="I29" s="117">
        <f t="shared" si="24"/>
        <v>6912932</v>
      </c>
      <c r="J29" s="123">
        <v>9</v>
      </c>
      <c r="K29" s="119" t="s">
        <v>70</v>
      </c>
      <c r="L29" s="117">
        <f t="shared" ref="L29:R29" si="25">SUM(L22-L23-L28)</f>
        <v>5691971</v>
      </c>
      <c r="M29" s="117">
        <f t="shared" si="25"/>
        <v>7257249.25</v>
      </c>
      <c r="N29" s="117">
        <f t="shared" si="25"/>
        <v>9594440</v>
      </c>
      <c r="O29" s="117">
        <f t="shared" si="25"/>
        <v>10245896</v>
      </c>
      <c r="P29" s="117">
        <f t="shared" si="25"/>
        <v>10963242</v>
      </c>
      <c r="Q29" s="117">
        <f t="shared" si="25"/>
        <v>11301511</v>
      </c>
      <c r="R29" s="117">
        <f t="shared" si="25"/>
        <v>11649028</v>
      </c>
      <c r="S29" s="123">
        <v>9</v>
      </c>
      <c r="T29" s="119" t="s">
        <v>70</v>
      </c>
      <c r="U29" s="117">
        <f t="shared" ref="U29:AA29" si="26">SUM(U22-U23-U28)</f>
        <v>12002164</v>
      </c>
      <c r="V29" s="117">
        <f t="shared" si="26"/>
        <v>12349811</v>
      </c>
      <c r="W29" s="117">
        <f t="shared" si="26"/>
        <v>12703483</v>
      </c>
      <c r="X29" s="117">
        <f t="shared" si="26"/>
        <v>13065472</v>
      </c>
      <c r="Y29" s="117">
        <f t="shared" si="26"/>
        <v>13433133</v>
      </c>
      <c r="Z29" s="117">
        <f t="shared" si="26"/>
        <v>13808216</v>
      </c>
      <c r="AA29" s="117">
        <f t="shared" si="26"/>
        <v>14153934</v>
      </c>
      <c r="AB29" s="123">
        <v>9</v>
      </c>
      <c r="AC29" s="119" t="s">
        <v>70</v>
      </c>
      <c r="AD29" s="117">
        <f t="shared" ref="AD29:AJ29" si="27">SUM(AD22-AD23-AD28)</f>
        <v>14469393</v>
      </c>
      <c r="AE29" s="117">
        <f t="shared" si="27"/>
        <v>14791792</v>
      </c>
      <c r="AF29" s="117">
        <f t="shared" si="27"/>
        <v>15121284</v>
      </c>
      <c r="AG29" s="117">
        <f t="shared" si="27"/>
        <v>15458025</v>
      </c>
      <c r="AH29" s="117">
        <f t="shared" si="27"/>
        <v>15786530</v>
      </c>
      <c r="AI29" s="117">
        <f t="shared" si="27"/>
        <v>16121934</v>
      </c>
      <c r="AJ29" s="117">
        <f t="shared" si="27"/>
        <v>16464382</v>
      </c>
      <c r="AK29" s="123">
        <v>9</v>
      </c>
      <c r="AL29" s="119" t="s">
        <v>70</v>
      </c>
      <c r="AM29" s="117">
        <f t="shared" ref="AM29:AS29" si="28">SUM(AM22-AM23-AM28)</f>
        <v>16814021</v>
      </c>
      <c r="AN29" s="117">
        <f t="shared" si="28"/>
        <v>17171003</v>
      </c>
      <c r="AO29" s="117">
        <f t="shared" si="28"/>
        <v>13438125</v>
      </c>
      <c r="AP29" s="117">
        <f t="shared" si="28"/>
        <v>13710590</v>
      </c>
      <c r="AQ29" s="117">
        <f t="shared" si="28"/>
        <v>13988503</v>
      </c>
      <c r="AR29" s="117">
        <f t="shared" si="28"/>
        <v>14271975</v>
      </c>
      <c r="AS29" s="117">
        <f t="shared" si="28"/>
        <v>14561117</v>
      </c>
      <c r="AT29" s="123">
        <v>9</v>
      </c>
      <c r="AU29" s="119" t="s">
        <v>70</v>
      </c>
      <c r="AV29" s="117">
        <f t="shared" ref="AV29:AX29" si="29">SUM(AV22-AV23-AV28)</f>
        <v>14856041</v>
      </c>
      <c r="AW29" s="117">
        <f t="shared" si="29"/>
        <v>15156864</v>
      </c>
      <c r="AX29" s="117">
        <f t="shared" si="29"/>
        <v>15463704</v>
      </c>
    </row>
    <row r="30" spans="1:50" ht="12" customHeight="1">
      <c r="A30" s="124">
        <v>10</v>
      </c>
      <c r="B30" s="125" t="s">
        <v>7</v>
      </c>
      <c r="C30" s="113">
        <v>18280903.09</v>
      </c>
      <c r="D30" s="113">
        <v>11153742.220000001</v>
      </c>
      <c r="E30" s="113">
        <v>56890518</v>
      </c>
      <c r="F30" s="113">
        <v>8069753.3700000001</v>
      </c>
      <c r="G30" s="113">
        <f>24430496</f>
        <v>24430496</v>
      </c>
      <c r="H30" s="113">
        <f>10833810</f>
        <v>10833810</v>
      </c>
      <c r="I30" s="113">
        <f>6912932</f>
        <v>6912932</v>
      </c>
      <c r="J30" s="124">
        <v>10</v>
      </c>
      <c r="K30" s="125" t="s">
        <v>7</v>
      </c>
      <c r="L30" s="113">
        <f>5691971</f>
        <v>5691971</v>
      </c>
      <c r="M30" s="113">
        <f>7257249.25</f>
        <v>7257249.25</v>
      </c>
      <c r="N30" s="113">
        <f>9594440</f>
        <v>9594440</v>
      </c>
      <c r="O30" s="113">
        <f>10245896</f>
        <v>10245896</v>
      </c>
      <c r="P30" s="113">
        <f>10963242</f>
        <v>10963242</v>
      </c>
      <c r="Q30" s="113">
        <f>11301511</f>
        <v>11301511</v>
      </c>
      <c r="R30" s="113">
        <f>11649028</f>
        <v>11649028</v>
      </c>
      <c r="S30" s="124">
        <v>10</v>
      </c>
      <c r="T30" s="125" t="s">
        <v>7</v>
      </c>
      <c r="U30" s="113">
        <f>12002164</f>
        <v>12002164</v>
      </c>
      <c r="V30" s="113">
        <f>12349811</f>
        <v>12349811</v>
      </c>
      <c r="W30" s="113">
        <f>12703483</f>
        <v>12703483</v>
      </c>
      <c r="X30" s="113">
        <f>13065472</f>
        <v>13065472</v>
      </c>
      <c r="Y30" s="113">
        <f>13433133</f>
        <v>13433133</v>
      </c>
      <c r="Z30" s="113">
        <f>13808216</f>
        <v>13808216</v>
      </c>
      <c r="AA30" s="113">
        <f>14153934</f>
        <v>14153934</v>
      </c>
      <c r="AB30" s="124">
        <v>10</v>
      </c>
      <c r="AC30" s="125" t="s">
        <v>7</v>
      </c>
      <c r="AD30" s="113">
        <f>14469393</f>
        <v>14469393</v>
      </c>
      <c r="AE30" s="113">
        <f>14791792</f>
        <v>14791792</v>
      </c>
      <c r="AF30" s="113">
        <f>15121284</f>
        <v>15121284</v>
      </c>
      <c r="AG30" s="113">
        <f>15458025</f>
        <v>15458025</v>
      </c>
      <c r="AH30" s="113">
        <f>15786530</f>
        <v>15786530</v>
      </c>
      <c r="AI30" s="113">
        <f>16121934</f>
        <v>16121934</v>
      </c>
      <c r="AJ30" s="113">
        <f>16464382</f>
        <v>16464382</v>
      </c>
      <c r="AK30" s="124">
        <v>10</v>
      </c>
      <c r="AL30" s="125" t="s">
        <v>7</v>
      </c>
      <c r="AM30" s="113">
        <f>16814021</f>
        <v>16814021</v>
      </c>
      <c r="AN30" s="113">
        <f>17171003</f>
        <v>17171003</v>
      </c>
      <c r="AO30" s="113">
        <f>13438125</f>
        <v>13438125</v>
      </c>
      <c r="AP30" s="113">
        <f>13710590</f>
        <v>13710590</v>
      </c>
      <c r="AQ30" s="113">
        <f>13988503</f>
        <v>13988503</v>
      </c>
      <c r="AR30" s="113">
        <f>14271975</f>
        <v>14271975</v>
      </c>
      <c r="AS30" s="113">
        <f>14561117</f>
        <v>14561117</v>
      </c>
      <c r="AT30" s="124">
        <v>10</v>
      </c>
      <c r="AU30" s="125" t="s">
        <v>7</v>
      </c>
      <c r="AV30" s="113">
        <f>14856041</f>
        <v>14856041</v>
      </c>
      <c r="AW30" s="113">
        <f>15156864</f>
        <v>15156864</v>
      </c>
      <c r="AX30" s="113">
        <f>15463704</f>
        <v>15463704</v>
      </c>
    </row>
    <row r="31" spans="1:50" ht="12" customHeight="1">
      <c r="A31" s="130" t="s">
        <v>71</v>
      </c>
      <c r="B31" s="118" t="s">
        <v>100</v>
      </c>
      <c r="C31" s="114">
        <v>0</v>
      </c>
      <c r="D31" s="114">
        <v>0</v>
      </c>
      <c r="E31" s="114">
        <v>52657700</v>
      </c>
      <c r="F31" s="114">
        <v>4008372.08</v>
      </c>
      <c r="G31" s="114">
        <f>SUM('Zał.2 Przeds.'!F8:F9)</f>
        <v>23184700</v>
      </c>
      <c r="H31" s="114">
        <f>5142600</f>
        <v>5142600</v>
      </c>
      <c r="I31" s="114">
        <f t="shared" ref="I31" si="30">1042600</f>
        <v>1042600</v>
      </c>
      <c r="J31" s="130" t="s">
        <v>71</v>
      </c>
      <c r="K31" s="118" t="s">
        <v>100</v>
      </c>
      <c r="L31" s="114">
        <f t="shared" ref="L31:R31" si="31">1042600</f>
        <v>1042600</v>
      </c>
      <c r="M31" s="114">
        <f t="shared" si="31"/>
        <v>1042600</v>
      </c>
      <c r="N31" s="114">
        <f t="shared" si="31"/>
        <v>1042600</v>
      </c>
      <c r="O31" s="114">
        <f t="shared" si="31"/>
        <v>1042600</v>
      </c>
      <c r="P31" s="114">
        <f t="shared" si="31"/>
        <v>1042600</v>
      </c>
      <c r="Q31" s="114">
        <f t="shared" si="31"/>
        <v>1042600</v>
      </c>
      <c r="R31" s="114">
        <f t="shared" si="31"/>
        <v>1042600</v>
      </c>
      <c r="S31" s="130" t="s">
        <v>71</v>
      </c>
      <c r="T31" s="118" t="s">
        <v>100</v>
      </c>
      <c r="U31" s="114">
        <f t="shared" ref="U31:Z31" si="32">1042600</f>
        <v>1042600</v>
      </c>
      <c r="V31" s="114">
        <f t="shared" si="32"/>
        <v>1042600</v>
      </c>
      <c r="W31" s="114">
        <f t="shared" si="32"/>
        <v>1042600</v>
      </c>
      <c r="X31" s="114">
        <f t="shared" si="32"/>
        <v>1042600</v>
      </c>
      <c r="Y31" s="114">
        <f t="shared" si="32"/>
        <v>1042600</v>
      </c>
      <c r="Z31" s="114">
        <f t="shared" si="32"/>
        <v>1042600</v>
      </c>
      <c r="AA31" s="114">
        <f>0</f>
        <v>0</v>
      </c>
      <c r="AB31" s="130" t="s">
        <v>71</v>
      </c>
      <c r="AC31" s="118" t="s">
        <v>100</v>
      </c>
      <c r="AD31" s="114">
        <f>0</f>
        <v>0</v>
      </c>
      <c r="AE31" s="114">
        <f>0</f>
        <v>0</v>
      </c>
      <c r="AF31" s="114">
        <f>0</f>
        <v>0</v>
      </c>
      <c r="AG31" s="114">
        <f>0</f>
        <v>0</v>
      </c>
      <c r="AH31" s="114">
        <f>0</f>
        <v>0</v>
      </c>
      <c r="AI31" s="114">
        <f>0</f>
        <v>0</v>
      </c>
      <c r="AJ31" s="114">
        <f>0</f>
        <v>0</v>
      </c>
      <c r="AK31" s="130" t="s">
        <v>71</v>
      </c>
      <c r="AL31" s="118" t="s">
        <v>100</v>
      </c>
      <c r="AM31" s="114">
        <f>0</f>
        <v>0</v>
      </c>
      <c r="AN31" s="114">
        <f>0</f>
        <v>0</v>
      </c>
      <c r="AO31" s="114">
        <f>0</f>
        <v>0</v>
      </c>
      <c r="AP31" s="114">
        <f>0</f>
        <v>0</v>
      </c>
      <c r="AQ31" s="114">
        <f>0</f>
        <v>0</v>
      </c>
      <c r="AR31" s="114">
        <f>0</f>
        <v>0</v>
      </c>
      <c r="AS31" s="114">
        <f>0</f>
        <v>0</v>
      </c>
      <c r="AT31" s="130" t="s">
        <v>71</v>
      </c>
      <c r="AU31" s="118" t="s">
        <v>100</v>
      </c>
      <c r="AV31" s="114">
        <f>0</f>
        <v>0</v>
      </c>
      <c r="AW31" s="114">
        <f>0</f>
        <v>0</v>
      </c>
      <c r="AX31" s="114">
        <f>0</f>
        <v>0</v>
      </c>
    </row>
    <row r="32" spans="1:50" ht="24" customHeight="1">
      <c r="A32" s="126" t="s">
        <v>73</v>
      </c>
      <c r="B32" s="127" t="s">
        <v>93</v>
      </c>
      <c r="C32" s="115">
        <v>16500</v>
      </c>
      <c r="D32" s="115">
        <f>0</f>
        <v>0</v>
      </c>
      <c r="E32" s="115">
        <v>0</v>
      </c>
      <c r="F32" s="115">
        <v>1573126.3</v>
      </c>
      <c r="G32" s="115">
        <v>20672400</v>
      </c>
      <c r="H32" s="115">
        <f>0</f>
        <v>0</v>
      </c>
      <c r="I32" s="115">
        <f>0</f>
        <v>0</v>
      </c>
      <c r="J32" s="126" t="s">
        <v>73</v>
      </c>
      <c r="K32" s="127" t="s">
        <v>93</v>
      </c>
      <c r="L32" s="115">
        <f>0</f>
        <v>0</v>
      </c>
      <c r="M32" s="115">
        <f>0</f>
        <v>0</v>
      </c>
      <c r="N32" s="115">
        <f>0</f>
        <v>0</v>
      </c>
      <c r="O32" s="115">
        <f>0</f>
        <v>0</v>
      </c>
      <c r="P32" s="115">
        <f>0</f>
        <v>0</v>
      </c>
      <c r="Q32" s="115">
        <f>0</f>
        <v>0</v>
      </c>
      <c r="R32" s="115">
        <f>0</f>
        <v>0</v>
      </c>
      <c r="S32" s="126" t="s">
        <v>73</v>
      </c>
      <c r="T32" s="127" t="s">
        <v>93</v>
      </c>
      <c r="U32" s="115">
        <f>0</f>
        <v>0</v>
      </c>
      <c r="V32" s="115">
        <f>0</f>
        <v>0</v>
      </c>
      <c r="W32" s="115">
        <f>0</f>
        <v>0</v>
      </c>
      <c r="X32" s="115">
        <f>0</f>
        <v>0</v>
      </c>
      <c r="Y32" s="115">
        <f>0</f>
        <v>0</v>
      </c>
      <c r="Z32" s="115">
        <f>0</f>
        <v>0</v>
      </c>
      <c r="AA32" s="115">
        <f>0</f>
        <v>0</v>
      </c>
      <c r="AB32" s="126" t="s">
        <v>73</v>
      </c>
      <c r="AC32" s="127" t="s">
        <v>93</v>
      </c>
      <c r="AD32" s="115">
        <f>0</f>
        <v>0</v>
      </c>
      <c r="AE32" s="115">
        <f>0</f>
        <v>0</v>
      </c>
      <c r="AF32" s="115">
        <f>0</f>
        <v>0</v>
      </c>
      <c r="AG32" s="115">
        <f>0</f>
        <v>0</v>
      </c>
      <c r="AH32" s="115">
        <f>0</f>
        <v>0</v>
      </c>
      <c r="AI32" s="115">
        <f>0</f>
        <v>0</v>
      </c>
      <c r="AJ32" s="115">
        <f>0</f>
        <v>0</v>
      </c>
      <c r="AK32" s="126" t="s">
        <v>73</v>
      </c>
      <c r="AL32" s="127" t="s">
        <v>93</v>
      </c>
      <c r="AM32" s="115">
        <f>0</f>
        <v>0</v>
      </c>
      <c r="AN32" s="115">
        <f>0</f>
        <v>0</v>
      </c>
      <c r="AO32" s="115">
        <f>0</f>
        <v>0</v>
      </c>
      <c r="AP32" s="115">
        <f>0</f>
        <v>0</v>
      </c>
      <c r="AQ32" s="115">
        <f>0</f>
        <v>0</v>
      </c>
      <c r="AR32" s="115">
        <f>0</f>
        <v>0</v>
      </c>
      <c r="AS32" s="115">
        <f>0</f>
        <v>0</v>
      </c>
      <c r="AT32" s="126" t="s">
        <v>73</v>
      </c>
      <c r="AU32" s="127" t="s">
        <v>93</v>
      </c>
      <c r="AV32" s="115">
        <f>0</f>
        <v>0</v>
      </c>
      <c r="AW32" s="115">
        <f>0</f>
        <v>0</v>
      </c>
      <c r="AX32" s="115">
        <f>0</f>
        <v>0</v>
      </c>
    </row>
    <row r="33" spans="1:55" ht="12" customHeight="1">
      <c r="A33" s="124">
        <v>11</v>
      </c>
      <c r="B33" s="125" t="s">
        <v>16</v>
      </c>
      <c r="C33" s="120">
        <v>9468525</v>
      </c>
      <c r="D33" s="120">
        <v>8145420</v>
      </c>
      <c r="E33" s="120">
        <v>3025595</v>
      </c>
      <c r="F33" s="120">
        <v>2701595</v>
      </c>
      <c r="G33" s="120">
        <v>0</v>
      </c>
      <c r="H33" s="120">
        <f>0</f>
        <v>0</v>
      </c>
      <c r="I33" s="120">
        <f>0</f>
        <v>0</v>
      </c>
      <c r="J33" s="124">
        <v>11</v>
      </c>
      <c r="K33" s="125" t="s">
        <v>16</v>
      </c>
      <c r="L33" s="120">
        <f>0</f>
        <v>0</v>
      </c>
      <c r="M33" s="120">
        <f>0</f>
        <v>0</v>
      </c>
      <c r="N33" s="120">
        <f>0</f>
        <v>0</v>
      </c>
      <c r="O33" s="120">
        <f>0</f>
        <v>0</v>
      </c>
      <c r="P33" s="120">
        <f>0</f>
        <v>0</v>
      </c>
      <c r="Q33" s="120">
        <f>0</f>
        <v>0</v>
      </c>
      <c r="R33" s="120">
        <f>0</f>
        <v>0</v>
      </c>
      <c r="S33" s="124">
        <v>11</v>
      </c>
      <c r="T33" s="125" t="s">
        <v>16</v>
      </c>
      <c r="U33" s="120">
        <f>0</f>
        <v>0</v>
      </c>
      <c r="V33" s="120">
        <f>0</f>
        <v>0</v>
      </c>
      <c r="W33" s="120">
        <f>0</f>
        <v>0</v>
      </c>
      <c r="X33" s="120">
        <f>0</f>
        <v>0</v>
      </c>
      <c r="Y33" s="120">
        <f>0</f>
        <v>0</v>
      </c>
      <c r="Z33" s="120">
        <f>0</f>
        <v>0</v>
      </c>
      <c r="AA33" s="120">
        <f>0</f>
        <v>0</v>
      </c>
      <c r="AB33" s="124">
        <v>11</v>
      </c>
      <c r="AC33" s="125" t="s">
        <v>16</v>
      </c>
      <c r="AD33" s="120">
        <f>0</f>
        <v>0</v>
      </c>
      <c r="AE33" s="120">
        <f>0</f>
        <v>0</v>
      </c>
      <c r="AF33" s="120">
        <f>0</f>
        <v>0</v>
      </c>
      <c r="AG33" s="120">
        <f>0</f>
        <v>0</v>
      </c>
      <c r="AH33" s="120">
        <f>0</f>
        <v>0</v>
      </c>
      <c r="AI33" s="120">
        <f>0</f>
        <v>0</v>
      </c>
      <c r="AJ33" s="120">
        <f>0</f>
        <v>0</v>
      </c>
      <c r="AK33" s="124">
        <v>11</v>
      </c>
      <c r="AL33" s="125" t="s">
        <v>16</v>
      </c>
      <c r="AM33" s="120">
        <f>0</f>
        <v>0</v>
      </c>
      <c r="AN33" s="120">
        <f>0</f>
        <v>0</v>
      </c>
      <c r="AO33" s="120">
        <f>0</f>
        <v>0</v>
      </c>
      <c r="AP33" s="120">
        <f>0</f>
        <v>0</v>
      </c>
      <c r="AQ33" s="120">
        <f>0</f>
        <v>0</v>
      </c>
      <c r="AR33" s="120">
        <f>0</f>
        <v>0</v>
      </c>
      <c r="AS33" s="120">
        <f>0</f>
        <v>0</v>
      </c>
      <c r="AT33" s="124">
        <v>11</v>
      </c>
      <c r="AU33" s="125" t="s">
        <v>16</v>
      </c>
      <c r="AV33" s="120">
        <f>0</f>
        <v>0</v>
      </c>
      <c r="AW33" s="120">
        <f>0</f>
        <v>0</v>
      </c>
      <c r="AX33" s="120">
        <f>0</f>
        <v>0</v>
      </c>
    </row>
    <row r="34" spans="1:55" ht="12" customHeight="1">
      <c r="A34" s="126" t="s">
        <v>74</v>
      </c>
      <c r="B34" s="127" t="s">
        <v>15</v>
      </c>
      <c r="C34" s="121">
        <v>8427126.8000000007</v>
      </c>
      <c r="D34" s="121">
        <v>2625469.15</v>
      </c>
      <c r="E34" s="121">
        <v>930000</v>
      </c>
      <c r="F34" s="121">
        <v>606000</v>
      </c>
      <c r="G34" s="121">
        <f>0</f>
        <v>0</v>
      </c>
      <c r="H34" s="121">
        <f>0</f>
        <v>0</v>
      </c>
      <c r="I34" s="121">
        <f>0</f>
        <v>0</v>
      </c>
      <c r="J34" s="126" t="s">
        <v>74</v>
      </c>
      <c r="K34" s="127" t="s">
        <v>15</v>
      </c>
      <c r="L34" s="121">
        <f>0</f>
        <v>0</v>
      </c>
      <c r="M34" s="121">
        <f>0</f>
        <v>0</v>
      </c>
      <c r="N34" s="121">
        <f>0</f>
        <v>0</v>
      </c>
      <c r="O34" s="121">
        <f>0</f>
        <v>0</v>
      </c>
      <c r="P34" s="121">
        <f>0</f>
        <v>0</v>
      </c>
      <c r="Q34" s="121">
        <f>0</f>
        <v>0</v>
      </c>
      <c r="R34" s="121">
        <f>0</f>
        <v>0</v>
      </c>
      <c r="S34" s="126" t="s">
        <v>74</v>
      </c>
      <c r="T34" s="127" t="s">
        <v>15</v>
      </c>
      <c r="U34" s="121">
        <f>0</f>
        <v>0</v>
      </c>
      <c r="V34" s="121">
        <f>0</f>
        <v>0</v>
      </c>
      <c r="W34" s="121">
        <f>0</f>
        <v>0</v>
      </c>
      <c r="X34" s="121">
        <f>0</f>
        <v>0</v>
      </c>
      <c r="Y34" s="121">
        <f>0</f>
        <v>0</v>
      </c>
      <c r="Z34" s="121">
        <f>0</f>
        <v>0</v>
      </c>
      <c r="AA34" s="121">
        <f>0</f>
        <v>0</v>
      </c>
      <c r="AB34" s="126" t="s">
        <v>74</v>
      </c>
      <c r="AC34" s="127" t="s">
        <v>15</v>
      </c>
      <c r="AD34" s="121">
        <f>0</f>
        <v>0</v>
      </c>
      <c r="AE34" s="121">
        <f>0</f>
        <v>0</v>
      </c>
      <c r="AF34" s="121">
        <f>0</f>
        <v>0</v>
      </c>
      <c r="AG34" s="121">
        <f>0</f>
        <v>0</v>
      </c>
      <c r="AH34" s="121">
        <f>0</f>
        <v>0</v>
      </c>
      <c r="AI34" s="121">
        <f>0</f>
        <v>0</v>
      </c>
      <c r="AJ34" s="121">
        <f>0</f>
        <v>0</v>
      </c>
      <c r="AK34" s="126" t="s">
        <v>74</v>
      </c>
      <c r="AL34" s="127" t="s">
        <v>15</v>
      </c>
      <c r="AM34" s="121">
        <f>0</f>
        <v>0</v>
      </c>
      <c r="AN34" s="121">
        <f>0</f>
        <v>0</v>
      </c>
      <c r="AO34" s="121">
        <f>0</f>
        <v>0</v>
      </c>
      <c r="AP34" s="121">
        <f>0</f>
        <v>0</v>
      </c>
      <c r="AQ34" s="121">
        <f>0</f>
        <v>0</v>
      </c>
      <c r="AR34" s="121">
        <f>0</f>
        <v>0</v>
      </c>
      <c r="AS34" s="121">
        <f>0</f>
        <v>0</v>
      </c>
      <c r="AT34" s="126" t="s">
        <v>74</v>
      </c>
      <c r="AU34" s="127" t="s">
        <v>15</v>
      </c>
      <c r="AV34" s="121">
        <f>0</f>
        <v>0</v>
      </c>
      <c r="AW34" s="121">
        <f>0</f>
        <v>0</v>
      </c>
      <c r="AX34" s="121">
        <f>0</f>
        <v>0</v>
      </c>
    </row>
    <row r="35" spans="1:55" ht="12" customHeight="1">
      <c r="A35" s="123">
        <v>12</v>
      </c>
      <c r="B35" s="119" t="s">
        <v>75</v>
      </c>
      <c r="C35" s="190">
        <f>SUM(C29-C30+C33)</f>
        <v>936375.84999999776</v>
      </c>
      <c r="D35" s="190">
        <f t="shared" ref="D35:I35" si="33">SUM(D29-D30+D33)</f>
        <v>2772285.6999999974</v>
      </c>
      <c r="E35" s="190">
        <f t="shared" si="33"/>
        <v>0</v>
      </c>
      <c r="F35" s="190">
        <f t="shared" si="33"/>
        <v>2.3199999984353781</v>
      </c>
      <c r="G35" s="190">
        <f t="shared" si="33"/>
        <v>0</v>
      </c>
      <c r="H35" s="190">
        <f t="shared" si="33"/>
        <v>0</v>
      </c>
      <c r="I35" s="190">
        <f t="shared" si="33"/>
        <v>0</v>
      </c>
      <c r="J35" s="123">
        <v>12</v>
      </c>
      <c r="K35" s="119" t="s">
        <v>75</v>
      </c>
      <c r="L35" s="190">
        <f t="shared" ref="L35:R35" si="34">SUM(L29-L30+L33)</f>
        <v>0</v>
      </c>
      <c r="M35" s="190">
        <f t="shared" si="34"/>
        <v>0</v>
      </c>
      <c r="N35" s="190">
        <f t="shared" si="34"/>
        <v>0</v>
      </c>
      <c r="O35" s="190">
        <f t="shared" si="34"/>
        <v>0</v>
      </c>
      <c r="P35" s="190">
        <f t="shared" si="34"/>
        <v>0</v>
      </c>
      <c r="Q35" s="190">
        <f t="shared" si="34"/>
        <v>0</v>
      </c>
      <c r="R35" s="190">
        <f t="shared" si="34"/>
        <v>0</v>
      </c>
      <c r="S35" s="123">
        <v>12</v>
      </c>
      <c r="T35" s="119" t="s">
        <v>75</v>
      </c>
      <c r="U35" s="190">
        <f t="shared" ref="U35:AA35" si="35">SUM(U29-U30+U33)</f>
        <v>0</v>
      </c>
      <c r="V35" s="190">
        <f t="shared" si="35"/>
        <v>0</v>
      </c>
      <c r="W35" s="190">
        <f t="shared" si="35"/>
        <v>0</v>
      </c>
      <c r="X35" s="190">
        <f t="shared" si="35"/>
        <v>0</v>
      </c>
      <c r="Y35" s="190">
        <f t="shared" si="35"/>
        <v>0</v>
      </c>
      <c r="Z35" s="190">
        <f t="shared" si="35"/>
        <v>0</v>
      </c>
      <c r="AA35" s="190">
        <f t="shared" si="35"/>
        <v>0</v>
      </c>
      <c r="AB35" s="123">
        <v>12</v>
      </c>
      <c r="AC35" s="119" t="s">
        <v>75</v>
      </c>
      <c r="AD35" s="190">
        <f t="shared" ref="AD35:AJ35" si="36">SUM(AD29-AD30+AD33)</f>
        <v>0</v>
      </c>
      <c r="AE35" s="190">
        <f t="shared" si="36"/>
        <v>0</v>
      </c>
      <c r="AF35" s="190">
        <f t="shared" si="36"/>
        <v>0</v>
      </c>
      <c r="AG35" s="190">
        <f t="shared" si="36"/>
        <v>0</v>
      </c>
      <c r="AH35" s="190">
        <f t="shared" si="36"/>
        <v>0</v>
      </c>
      <c r="AI35" s="190">
        <f t="shared" si="36"/>
        <v>0</v>
      </c>
      <c r="AJ35" s="190">
        <f t="shared" si="36"/>
        <v>0</v>
      </c>
      <c r="AK35" s="123">
        <v>12</v>
      </c>
      <c r="AL35" s="119" t="s">
        <v>75</v>
      </c>
      <c r="AM35" s="190">
        <f t="shared" ref="AM35:AS35" si="37">SUM(AM29-AM30+AM33)</f>
        <v>0</v>
      </c>
      <c r="AN35" s="190">
        <f t="shared" si="37"/>
        <v>0</v>
      </c>
      <c r="AO35" s="190">
        <f t="shared" si="37"/>
        <v>0</v>
      </c>
      <c r="AP35" s="190">
        <f t="shared" si="37"/>
        <v>0</v>
      </c>
      <c r="AQ35" s="190">
        <f t="shared" si="37"/>
        <v>0</v>
      </c>
      <c r="AR35" s="190">
        <f t="shared" si="37"/>
        <v>0</v>
      </c>
      <c r="AS35" s="190">
        <f t="shared" si="37"/>
        <v>0</v>
      </c>
      <c r="AT35" s="123">
        <v>12</v>
      </c>
      <c r="AU35" s="119" t="s">
        <v>75</v>
      </c>
      <c r="AV35" s="190">
        <f t="shared" ref="AV35:AX35" si="38">SUM(AV29-AV30+AV33)</f>
        <v>0</v>
      </c>
      <c r="AW35" s="190">
        <f t="shared" si="38"/>
        <v>0</v>
      </c>
      <c r="AX35" s="190">
        <f t="shared" si="38"/>
        <v>0</v>
      </c>
    </row>
    <row r="36" spans="1:55" ht="12" customHeight="1">
      <c r="A36" s="124">
        <v>13</v>
      </c>
      <c r="B36" s="125" t="s">
        <v>17</v>
      </c>
      <c r="C36" s="122">
        <v>20271728.68</v>
      </c>
      <c r="D36" s="122">
        <v>24733107.68</v>
      </c>
      <c r="E36" s="122">
        <v>37944000.75</v>
      </c>
      <c r="F36" s="122">
        <v>35430540.75</v>
      </c>
      <c r="G36" s="122">
        <v>33057393.75</v>
      </c>
      <c r="H36" s="122">
        <v>26712764.75</v>
      </c>
      <c r="I36" s="122">
        <f t="shared" ref="I36" si="39">SUM(H36-I24-I31+I33)</f>
        <v>21000835.75</v>
      </c>
      <c r="J36" s="124">
        <v>13</v>
      </c>
      <c r="K36" s="125" t="s">
        <v>17</v>
      </c>
      <c r="L36" s="122">
        <f>SUM(I36-L24-L31+L33)</f>
        <v>16195486.75</v>
      </c>
      <c r="M36" s="122">
        <f t="shared" ref="M36:R36" si="40">SUM(L36-M24-M31+M33)</f>
        <v>12513890</v>
      </c>
      <c r="N36" s="122">
        <f t="shared" si="40"/>
        <v>10801595</v>
      </c>
      <c r="O36" s="122">
        <f t="shared" si="40"/>
        <v>9383400</v>
      </c>
      <c r="P36" s="122">
        <f t="shared" si="40"/>
        <v>8340800</v>
      </c>
      <c r="Q36" s="122">
        <f t="shared" si="40"/>
        <v>7298200</v>
      </c>
      <c r="R36" s="122">
        <f t="shared" si="40"/>
        <v>6255600</v>
      </c>
      <c r="S36" s="124">
        <v>13</v>
      </c>
      <c r="T36" s="125" t="s">
        <v>17</v>
      </c>
      <c r="U36" s="122">
        <f>SUM(R36-U24-U31+U33)</f>
        <v>5213000</v>
      </c>
      <c r="V36" s="122">
        <f t="shared" ref="V36:Z36" si="41">SUM(U36-V24-V31+V33)</f>
        <v>4170400</v>
      </c>
      <c r="W36" s="122">
        <f t="shared" si="41"/>
        <v>3127800</v>
      </c>
      <c r="X36" s="122">
        <f t="shared" si="41"/>
        <v>2085200</v>
      </c>
      <c r="Y36" s="122">
        <f t="shared" si="41"/>
        <v>1042600</v>
      </c>
      <c r="Z36" s="122">
        <f t="shared" si="41"/>
        <v>0</v>
      </c>
      <c r="AA36" s="122">
        <f t="shared" ref="AA36" si="42">SUM(Z36-AA24-AA31+AA33)</f>
        <v>0</v>
      </c>
      <c r="AB36" s="124">
        <v>13</v>
      </c>
      <c r="AC36" s="125" t="s">
        <v>17</v>
      </c>
      <c r="AD36" s="122">
        <f>SUM(AA36-AD24-AD31+AD33)</f>
        <v>0</v>
      </c>
      <c r="AE36" s="122">
        <f t="shared" ref="AE36:AJ36" si="43">SUM(AD36-AE24-AE31+AE33)</f>
        <v>0</v>
      </c>
      <c r="AF36" s="122">
        <f t="shared" si="43"/>
        <v>0</v>
      </c>
      <c r="AG36" s="122">
        <f t="shared" si="43"/>
        <v>0</v>
      </c>
      <c r="AH36" s="122">
        <f t="shared" si="43"/>
        <v>0</v>
      </c>
      <c r="AI36" s="122">
        <f t="shared" si="43"/>
        <v>0</v>
      </c>
      <c r="AJ36" s="122">
        <f t="shared" si="43"/>
        <v>0</v>
      </c>
      <c r="AK36" s="124">
        <v>13</v>
      </c>
      <c r="AL36" s="125" t="s">
        <v>17</v>
      </c>
      <c r="AM36" s="122">
        <f>SUM(AJ36-AM24-AM31+AM33)</f>
        <v>0</v>
      </c>
      <c r="AN36" s="122">
        <f t="shared" ref="AN36:AS36" si="44">SUM(AM36-AN24-AN31+AN33)</f>
        <v>0</v>
      </c>
      <c r="AO36" s="122">
        <f t="shared" si="44"/>
        <v>0</v>
      </c>
      <c r="AP36" s="122">
        <f t="shared" si="44"/>
        <v>0</v>
      </c>
      <c r="AQ36" s="122">
        <f t="shared" si="44"/>
        <v>0</v>
      </c>
      <c r="AR36" s="122">
        <f t="shared" si="44"/>
        <v>0</v>
      </c>
      <c r="AS36" s="122">
        <f t="shared" si="44"/>
        <v>0</v>
      </c>
      <c r="AT36" s="124">
        <v>13</v>
      </c>
      <c r="AU36" s="125" t="s">
        <v>17</v>
      </c>
      <c r="AV36" s="122">
        <f>SUM(AS36-AV24-AV31+AV33)</f>
        <v>0</v>
      </c>
      <c r="AW36" s="122">
        <f t="shared" ref="AW36:AX36" si="45">SUM(AV36-AW24-AW31+AW33)</f>
        <v>0</v>
      </c>
      <c r="AX36" s="122">
        <f t="shared" si="45"/>
        <v>0</v>
      </c>
    </row>
    <row r="37" spans="1:55" ht="24" customHeight="1">
      <c r="A37" s="126" t="s">
        <v>76</v>
      </c>
      <c r="B37" s="127" t="s">
        <v>18</v>
      </c>
      <c r="C37" s="121">
        <v>0</v>
      </c>
      <c r="D37" s="121">
        <v>0</v>
      </c>
      <c r="E37" s="121">
        <v>15639000</v>
      </c>
      <c r="F37" s="121">
        <v>13449540</v>
      </c>
      <c r="G37" s="121">
        <f>15639000</f>
        <v>15639000</v>
      </c>
      <c r="H37" s="121">
        <f>14596400</f>
        <v>14596400</v>
      </c>
      <c r="I37" s="121">
        <f>13553800</f>
        <v>13553800</v>
      </c>
      <c r="J37" s="126" t="s">
        <v>76</v>
      </c>
      <c r="K37" s="127" t="s">
        <v>18</v>
      </c>
      <c r="L37" s="121">
        <f>12511200</f>
        <v>12511200</v>
      </c>
      <c r="M37" s="121">
        <f>11468600</f>
        <v>11468600</v>
      </c>
      <c r="N37" s="121">
        <f>10426000</f>
        <v>10426000</v>
      </c>
      <c r="O37" s="121">
        <f>9383400</f>
        <v>9383400</v>
      </c>
      <c r="P37" s="121">
        <f>8340800</f>
        <v>8340800</v>
      </c>
      <c r="Q37" s="121">
        <f>7298200</f>
        <v>7298200</v>
      </c>
      <c r="R37" s="121">
        <f>6255600</f>
        <v>6255600</v>
      </c>
      <c r="S37" s="126" t="s">
        <v>76</v>
      </c>
      <c r="T37" s="127" t="s">
        <v>18</v>
      </c>
      <c r="U37" s="121">
        <f>5213000</f>
        <v>5213000</v>
      </c>
      <c r="V37" s="121">
        <f>4170400</f>
        <v>4170400</v>
      </c>
      <c r="W37" s="121">
        <f>3127800</f>
        <v>3127800</v>
      </c>
      <c r="X37" s="121">
        <f>2085200</f>
        <v>2085200</v>
      </c>
      <c r="Y37" s="121">
        <f>1042600</f>
        <v>1042600</v>
      </c>
      <c r="Z37" s="121">
        <v>0</v>
      </c>
      <c r="AA37" s="121">
        <f>0</f>
        <v>0</v>
      </c>
      <c r="AB37" s="126" t="s">
        <v>76</v>
      </c>
      <c r="AC37" s="127" t="s">
        <v>18</v>
      </c>
      <c r="AD37" s="121">
        <f>0</f>
        <v>0</v>
      </c>
      <c r="AE37" s="121">
        <f>0</f>
        <v>0</v>
      </c>
      <c r="AF37" s="121">
        <f>0</f>
        <v>0</v>
      </c>
      <c r="AG37" s="121">
        <f>0</f>
        <v>0</v>
      </c>
      <c r="AH37" s="121">
        <f>0</f>
        <v>0</v>
      </c>
      <c r="AI37" s="121">
        <f>0</f>
        <v>0</v>
      </c>
      <c r="AJ37" s="121">
        <f>0</f>
        <v>0</v>
      </c>
      <c r="AK37" s="126" t="s">
        <v>76</v>
      </c>
      <c r="AL37" s="127" t="s">
        <v>18</v>
      </c>
      <c r="AM37" s="121">
        <f>0</f>
        <v>0</v>
      </c>
      <c r="AN37" s="121">
        <f>0</f>
        <v>0</v>
      </c>
      <c r="AO37" s="121">
        <f>0</f>
        <v>0</v>
      </c>
      <c r="AP37" s="121">
        <f>0</f>
        <v>0</v>
      </c>
      <c r="AQ37" s="121">
        <f>0</f>
        <v>0</v>
      </c>
      <c r="AR37" s="121">
        <f>0</f>
        <v>0</v>
      </c>
      <c r="AS37" s="121">
        <f>0</f>
        <v>0</v>
      </c>
      <c r="AT37" s="126" t="s">
        <v>76</v>
      </c>
      <c r="AU37" s="127" t="s">
        <v>18</v>
      </c>
      <c r="AV37" s="121">
        <f>0</f>
        <v>0</v>
      </c>
      <c r="AW37" s="121">
        <f>0</f>
        <v>0</v>
      </c>
      <c r="AX37" s="121">
        <f>0</f>
        <v>0</v>
      </c>
    </row>
    <row r="38" spans="1:55" ht="12" customHeight="1">
      <c r="A38" s="123">
        <v>14</v>
      </c>
      <c r="B38" s="119" t="s">
        <v>19</v>
      </c>
      <c r="C38" s="191">
        <f>0</f>
        <v>0</v>
      </c>
      <c r="D38" s="191">
        <f>0</f>
        <v>0</v>
      </c>
      <c r="E38" s="191">
        <f>0</f>
        <v>0</v>
      </c>
      <c r="F38" s="191">
        <v>573720</v>
      </c>
      <c r="G38" s="191">
        <v>438053</v>
      </c>
      <c r="H38" s="191">
        <f>0</f>
        <v>0</v>
      </c>
      <c r="I38" s="191">
        <f>0</f>
        <v>0</v>
      </c>
      <c r="J38" s="123">
        <v>14</v>
      </c>
      <c r="K38" s="119" t="s">
        <v>19</v>
      </c>
      <c r="L38" s="191">
        <f>0</f>
        <v>0</v>
      </c>
      <c r="M38" s="191">
        <f>0</f>
        <v>0</v>
      </c>
      <c r="N38" s="191">
        <f>0</f>
        <v>0</v>
      </c>
      <c r="O38" s="191">
        <f>0</f>
        <v>0</v>
      </c>
      <c r="P38" s="191">
        <f>0</f>
        <v>0</v>
      </c>
      <c r="Q38" s="191">
        <f>0</f>
        <v>0</v>
      </c>
      <c r="R38" s="191">
        <f>0</f>
        <v>0</v>
      </c>
      <c r="S38" s="123">
        <v>14</v>
      </c>
      <c r="T38" s="119" t="s">
        <v>19</v>
      </c>
      <c r="U38" s="191">
        <f>0</f>
        <v>0</v>
      </c>
      <c r="V38" s="191">
        <f>0</f>
        <v>0</v>
      </c>
      <c r="W38" s="191">
        <f>0</f>
        <v>0</v>
      </c>
      <c r="X38" s="191">
        <f>0</f>
        <v>0</v>
      </c>
      <c r="Y38" s="191">
        <f>0</f>
        <v>0</v>
      </c>
      <c r="Z38" s="191">
        <f>0</f>
        <v>0</v>
      </c>
      <c r="AA38" s="191">
        <f>0</f>
        <v>0</v>
      </c>
      <c r="AB38" s="123">
        <v>14</v>
      </c>
      <c r="AC38" s="119" t="s">
        <v>19</v>
      </c>
      <c r="AD38" s="191">
        <f>0</f>
        <v>0</v>
      </c>
      <c r="AE38" s="191">
        <f>0</f>
        <v>0</v>
      </c>
      <c r="AF38" s="191">
        <f>0</f>
        <v>0</v>
      </c>
      <c r="AG38" s="191">
        <f>0</f>
        <v>0</v>
      </c>
      <c r="AH38" s="191">
        <f>0</f>
        <v>0</v>
      </c>
      <c r="AI38" s="191">
        <f>0</f>
        <v>0</v>
      </c>
      <c r="AJ38" s="191">
        <f>0</f>
        <v>0</v>
      </c>
      <c r="AK38" s="123">
        <v>14</v>
      </c>
      <c r="AL38" s="119" t="s">
        <v>19</v>
      </c>
      <c r="AM38" s="191">
        <f>0</f>
        <v>0</v>
      </c>
      <c r="AN38" s="191">
        <f>0</f>
        <v>0</v>
      </c>
      <c r="AO38" s="191">
        <f>0</f>
        <v>0</v>
      </c>
      <c r="AP38" s="191">
        <f>0</f>
        <v>0</v>
      </c>
      <c r="AQ38" s="191">
        <f>0</f>
        <v>0</v>
      </c>
      <c r="AR38" s="191">
        <f>0</f>
        <v>0</v>
      </c>
      <c r="AS38" s="191">
        <f>0</f>
        <v>0</v>
      </c>
      <c r="AT38" s="123">
        <v>14</v>
      </c>
      <c r="AU38" s="119" t="s">
        <v>19</v>
      </c>
      <c r="AV38" s="191">
        <f>0</f>
        <v>0</v>
      </c>
      <c r="AW38" s="191">
        <f>0</f>
        <v>0</v>
      </c>
      <c r="AX38" s="191">
        <f>0</f>
        <v>0</v>
      </c>
    </row>
    <row r="39" spans="1:55" ht="12" customHeight="1">
      <c r="A39" s="220" t="s">
        <v>144</v>
      </c>
      <c r="B39" s="221"/>
      <c r="C39" s="221"/>
      <c r="D39" s="221"/>
      <c r="E39" s="221"/>
      <c r="F39" s="221"/>
      <c r="G39" s="221"/>
      <c r="H39" s="221"/>
      <c r="I39" s="221"/>
      <c r="J39" s="220" t="s">
        <v>145</v>
      </c>
      <c r="K39" s="221"/>
      <c r="L39" s="221"/>
      <c r="M39" s="221"/>
      <c r="N39" s="221"/>
      <c r="O39" s="221"/>
      <c r="P39" s="221"/>
      <c r="Q39" s="221"/>
      <c r="R39" s="221"/>
      <c r="S39" s="220" t="s">
        <v>146</v>
      </c>
      <c r="T39" s="221"/>
      <c r="U39" s="221"/>
      <c r="V39" s="221"/>
      <c r="W39" s="221"/>
      <c r="X39" s="221"/>
      <c r="Y39" s="221"/>
      <c r="Z39" s="221"/>
      <c r="AA39" s="221"/>
      <c r="AB39" s="220" t="s">
        <v>147</v>
      </c>
      <c r="AC39" s="221"/>
      <c r="AD39" s="221"/>
      <c r="AE39" s="221"/>
      <c r="AF39" s="221"/>
      <c r="AG39" s="221"/>
      <c r="AH39" s="221"/>
      <c r="AI39" s="221"/>
      <c r="AJ39" s="221"/>
      <c r="AK39" s="220" t="s">
        <v>148</v>
      </c>
      <c r="AL39" s="221"/>
      <c r="AM39" s="221"/>
      <c r="AN39" s="221"/>
      <c r="AO39" s="221"/>
      <c r="AP39" s="221"/>
      <c r="AQ39" s="221"/>
      <c r="AR39" s="221"/>
      <c r="AS39" s="221"/>
      <c r="AT39" s="218" t="s">
        <v>149</v>
      </c>
      <c r="AU39" s="219"/>
      <c r="AV39" s="219"/>
      <c r="AW39" s="219"/>
      <c r="AX39" s="219"/>
      <c r="AY39" s="219"/>
      <c r="AZ39" s="219"/>
      <c r="BA39" s="219"/>
      <c r="BB39" s="219"/>
      <c r="BC39" s="219"/>
    </row>
    <row r="40" spans="1:55" ht="12" customHeight="1">
      <c r="A40" s="185" t="s">
        <v>0</v>
      </c>
      <c r="B40" s="186" t="s">
        <v>1</v>
      </c>
      <c r="C40" s="187" t="s">
        <v>104</v>
      </c>
      <c r="D40" s="187" t="s">
        <v>105</v>
      </c>
      <c r="E40" s="187" t="s">
        <v>106</v>
      </c>
      <c r="F40" s="187" t="s">
        <v>234</v>
      </c>
      <c r="G40" s="187" t="s">
        <v>109</v>
      </c>
      <c r="H40" s="187" t="s">
        <v>110</v>
      </c>
      <c r="I40" s="187" t="s">
        <v>111</v>
      </c>
      <c r="J40" s="185" t="s">
        <v>0</v>
      </c>
      <c r="K40" s="186" t="s">
        <v>1</v>
      </c>
      <c r="L40" s="187" t="s">
        <v>112</v>
      </c>
      <c r="M40" s="187" t="s">
        <v>113</v>
      </c>
      <c r="N40" s="187" t="s">
        <v>114</v>
      </c>
      <c r="O40" s="187" t="s">
        <v>115</v>
      </c>
      <c r="P40" s="187" t="s">
        <v>116</v>
      </c>
      <c r="Q40" s="187" t="s">
        <v>117</v>
      </c>
      <c r="R40" s="187" t="s">
        <v>118</v>
      </c>
      <c r="S40" s="185" t="s">
        <v>0</v>
      </c>
      <c r="T40" s="186" t="s">
        <v>1</v>
      </c>
      <c r="U40" s="187" t="s">
        <v>119</v>
      </c>
      <c r="V40" s="187" t="s">
        <v>120</v>
      </c>
      <c r="W40" s="187" t="s">
        <v>121</v>
      </c>
      <c r="X40" s="187" t="s">
        <v>122</v>
      </c>
      <c r="Y40" s="187" t="s">
        <v>123</v>
      </c>
      <c r="Z40" s="187" t="s">
        <v>124</v>
      </c>
      <c r="AA40" s="187" t="s">
        <v>125</v>
      </c>
      <c r="AB40" s="185" t="s">
        <v>0</v>
      </c>
      <c r="AC40" s="186" t="s">
        <v>1</v>
      </c>
      <c r="AD40" s="187" t="s">
        <v>126</v>
      </c>
      <c r="AE40" s="187" t="s">
        <v>127</v>
      </c>
      <c r="AF40" s="187" t="s">
        <v>128</v>
      </c>
      <c r="AG40" s="187" t="s">
        <v>129</v>
      </c>
      <c r="AH40" s="187" t="s">
        <v>130</v>
      </c>
      <c r="AI40" s="187" t="s">
        <v>131</v>
      </c>
      <c r="AJ40" s="187" t="s">
        <v>132</v>
      </c>
      <c r="AK40" s="185" t="s">
        <v>0</v>
      </c>
      <c r="AL40" s="186" t="s">
        <v>1</v>
      </c>
      <c r="AM40" s="187" t="s">
        <v>133</v>
      </c>
      <c r="AN40" s="187" t="s">
        <v>134</v>
      </c>
      <c r="AO40" s="187" t="s">
        <v>135</v>
      </c>
      <c r="AP40" s="187" t="s">
        <v>136</v>
      </c>
      <c r="AQ40" s="187" t="s">
        <v>137</v>
      </c>
      <c r="AR40" s="187" t="s">
        <v>138</v>
      </c>
      <c r="AS40" s="187" t="s">
        <v>139</v>
      </c>
      <c r="AT40" s="185" t="s">
        <v>0</v>
      </c>
      <c r="AU40" s="186" t="s">
        <v>1</v>
      </c>
      <c r="AV40" s="187" t="s">
        <v>140</v>
      </c>
      <c r="AW40" s="187" t="s">
        <v>141</v>
      </c>
      <c r="AX40" s="187" t="s">
        <v>142</v>
      </c>
    </row>
    <row r="41" spans="1:55" ht="36" customHeight="1">
      <c r="A41" s="123">
        <v>15</v>
      </c>
      <c r="B41" s="119" t="s">
        <v>78</v>
      </c>
      <c r="C41" s="191">
        <f>0</f>
        <v>0</v>
      </c>
      <c r="D41" s="191">
        <f>0</f>
        <v>0</v>
      </c>
      <c r="E41" s="191">
        <f>0</f>
        <v>0</v>
      </c>
      <c r="F41" s="191">
        <f>0</f>
        <v>0</v>
      </c>
      <c r="G41" s="191">
        <f>0</f>
        <v>0</v>
      </c>
      <c r="H41" s="191">
        <f>0</f>
        <v>0</v>
      </c>
      <c r="I41" s="191">
        <f>0</f>
        <v>0</v>
      </c>
      <c r="J41" s="123">
        <v>15</v>
      </c>
      <c r="K41" s="119" t="s">
        <v>78</v>
      </c>
      <c r="L41" s="191">
        <f>0</f>
        <v>0</v>
      </c>
      <c r="M41" s="191">
        <f>0</f>
        <v>0</v>
      </c>
      <c r="N41" s="191">
        <f>0</f>
        <v>0</v>
      </c>
      <c r="O41" s="191">
        <f>0</f>
        <v>0</v>
      </c>
      <c r="P41" s="191">
        <f>0</f>
        <v>0</v>
      </c>
      <c r="Q41" s="191">
        <f>0</f>
        <v>0</v>
      </c>
      <c r="R41" s="191">
        <f>0</f>
        <v>0</v>
      </c>
      <c r="S41" s="123">
        <v>15</v>
      </c>
      <c r="T41" s="119" t="s">
        <v>78</v>
      </c>
      <c r="U41" s="191">
        <f>0</f>
        <v>0</v>
      </c>
      <c r="V41" s="191">
        <f>0</f>
        <v>0</v>
      </c>
      <c r="W41" s="191">
        <f>0</f>
        <v>0</v>
      </c>
      <c r="X41" s="191">
        <f>0</f>
        <v>0</v>
      </c>
      <c r="Y41" s="191">
        <f>0</f>
        <v>0</v>
      </c>
      <c r="Z41" s="191">
        <f>0</f>
        <v>0</v>
      </c>
      <c r="AA41" s="191">
        <f>0</f>
        <v>0</v>
      </c>
      <c r="AB41" s="123">
        <v>15</v>
      </c>
      <c r="AC41" s="119" t="s">
        <v>78</v>
      </c>
      <c r="AD41" s="191">
        <f>0</f>
        <v>0</v>
      </c>
      <c r="AE41" s="191">
        <f>0</f>
        <v>0</v>
      </c>
      <c r="AF41" s="191">
        <f>0</f>
        <v>0</v>
      </c>
      <c r="AG41" s="191">
        <f>0</f>
        <v>0</v>
      </c>
      <c r="AH41" s="191">
        <f>0</f>
        <v>0</v>
      </c>
      <c r="AI41" s="191">
        <f>0</f>
        <v>0</v>
      </c>
      <c r="AJ41" s="191">
        <f>0</f>
        <v>0</v>
      </c>
      <c r="AK41" s="123">
        <v>15</v>
      </c>
      <c r="AL41" s="119" t="s">
        <v>78</v>
      </c>
      <c r="AM41" s="191">
        <f>0</f>
        <v>0</v>
      </c>
      <c r="AN41" s="191">
        <f>0</f>
        <v>0</v>
      </c>
      <c r="AO41" s="191">
        <f>0</f>
        <v>0</v>
      </c>
      <c r="AP41" s="191">
        <f>0</f>
        <v>0</v>
      </c>
      <c r="AQ41" s="191">
        <f>0</f>
        <v>0</v>
      </c>
      <c r="AR41" s="191">
        <f>0</f>
        <v>0</v>
      </c>
      <c r="AS41" s="191">
        <f>0</f>
        <v>0</v>
      </c>
      <c r="AT41" s="123">
        <v>15</v>
      </c>
      <c r="AU41" s="119" t="s">
        <v>78</v>
      </c>
      <c r="AV41" s="191">
        <f>0</f>
        <v>0</v>
      </c>
      <c r="AW41" s="191">
        <f>0</f>
        <v>0</v>
      </c>
      <c r="AX41" s="191">
        <f>0</f>
        <v>0</v>
      </c>
    </row>
    <row r="42" spans="1:55" ht="24" customHeight="1">
      <c r="A42" s="123">
        <v>16</v>
      </c>
      <c r="B42" s="119" t="s">
        <v>79</v>
      </c>
      <c r="C42" s="191">
        <v>0</v>
      </c>
      <c r="D42" s="191">
        <v>0</v>
      </c>
      <c r="E42" s="191">
        <v>0</v>
      </c>
      <c r="F42" s="191">
        <v>0</v>
      </c>
      <c r="G42" s="191">
        <f>4596402</f>
        <v>4596402</v>
      </c>
      <c r="H42" s="191">
        <f>5260929</f>
        <v>5260929</v>
      </c>
      <c r="I42" s="191">
        <f>4669329</f>
        <v>4669329</v>
      </c>
      <c r="J42" s="123">
        <v>16</v>
      </c>
      <c r="K42" s="119" t="s">
        <v>79</v>
      </c>
      <c r="L42" s="191">
        <f>3762749</f>
        <v>3762749</v>
      </c>
      <c r="M42" s="191">
        <f>2638996.75</f>
        <v>2638996.75</v>
      </c>
      <c r="N42" s="191">
        <f>669695</f>
        <v>669695</v>
      </c>
      <c r="O42" s="191">
        <f>375595</f>
        <v>375595</v>
      </c>
      <c r="P42" s="191">
        <f>0</f>
        <v>0</v>
      </c>
      <c r="Q42" s="191">
        <f>0</f>
        <v>0</v>
      </c>
      <c r="R42" s="191">
        <f>0</f>
        <v>0</v>
      </c>
      <c r="S42" s="123">
        <v>16</v>
      </c>
      <c r="T42" s="119" t="s">
        <v>79</v>
      </c>
      <c r="U42" s="191">
        <f>0</f>
        <v>0</v>
      </c>
      <c r="V42" s="191">
        <f>0</f>
        <v>0</v>
      </c>
      <c r="W42" s="191">
        <f>0</f>
        <v>0</v>
      </c>
      <c r="X42" s="191">
        <f>0</f>
        <v>0</v>
      </c>
      <c r="Y42" s="191">
        <f>0</f>
        <v>0</v>
      </c>
      <c r="Z42" s="191">
        <f>0</f>
        <v>0</v>
      </c>
      <c r="AA42" s="191">
        <f>0</f>
        <v>0</v>
      </c>
      <c r="AB42" s="123">
        <v>16</v>
      </c>
      <c r="AC42" s="119" t="s">
        <v>79</v>
      </c>
      <c r="AD42" s="191">
        <f>0</f>
        <v>0</v>
      </c>
      <c r="AE42" s="191">
        <f>0</f>
        <v>0</v>
      </c>
      <c r="AF42" s="191">
        <f>0</f>
        <v>0</v>
      </c>
      <c r="AG42" s="191">
        <f>0</f>
        <v>0</v>
      </c>
      <c r="AH42" s="191">
        <f>0</f>
        <v>0</v>
      </c>
      <c r="AI42" s="191">
        <f>0</f>
        <v>0</v>
      </c>
      <c r="AJ42" s="191">
        <f>0</f>
        <v>0</v>
      </c>
      <c r="AK42" s="123">
        <v>16</v>
      </c>
      <c r="AL42" s="119" t="s">
        <v>79</v>
      </c>
      <c r="AM42" s="191">
        <f>0</f>
        <v>0</v>
      </c>
      <c r="AN42" s="191">
        <f>0</f>
        <v>0</v>
      </c>
      <c r="AO42" s="191">
        <f>0</f>
        <v>0</v>
      </c>
      <c r="AP42" s="191">
        <f>0</f>
        <v>0</v>
      </c>
      <c r="AQ42" s="191">
        <f>0</f>
        <v>0</v>
      </c>
      <c r="AR42" s="191">
        <f>0</f>
        <v>0</v>
      </c>
      <c r="AS42" s="191">
        <f>0</f>
        <v>0</v>
      </c>
      <c r="AT42" s="123">
        <v>16</v>
      </c>
      <c r="AU42" s="119" t="s">
        <v>79</v>
      </c>
      <c r="AV42" s="191">
        <f>0</f>
        <v>0</v>
      </c>
      <c r="AW42" s="191">
        <f>0</f>
        <v>0</v>
      </c>
      <c r="AX42" s="191">
        <f>0</f>
        <v>0</v>
      </c>
    </row>
    <row r="43" spans="1:55" ht="12" customHeight="1">
      <c r="A43" s="124">
        <v>17</v>
      </c>
      <c r="B43" s="125" t="s">
        <v>30</v>
      </c>
      <c r="C43" s="120">
        <f>0</f>
        <v>0</v>
      </c>
      <c r="D43" s="120">
        <f>0</f>
        <v>0</v>
      </c>
      <c r="E43" s="120">
        <f>0</f>
        <v>0</v>
      </c>
      <c r="F43" s="120">
        <f>0</f>
        <v>0</v>
      </c>
      <c r="G43" s="120">
        <f>0</f>
        <v>0</v>
      </c>
      <c r="H43" s="120">
        <f>0</f>
        <v>0</v>
      </c>
      <c r="I43" s="120">
        <f>0</f>
        <v>0</v>
      </c>
      <c r="J43" s="124">
        <v>17</v>
      </c>
      <c r="K43" s="125" t="s">
        <v>30</v>
      </c>
      <c r="L43" s="120">
        <f>0</f>
        <v>0</v>
      </c>
      <c r="M43" s="120">
        <f>0</f>
        <v>0</v>
      </c>
      <c r="N43" s="120">
        <f>0</f>
        <v>0</v>
      </c>
      <c r="O43" s="120">
        <f>0</f>
        <v>0</v>
      </c>
      <c r="P43" s="120">
        <f>0</f>
        <v>0</v>
      </c>
      <c r="Q43" s="120">
        <f>0</f>
        <v>0</v>
      </c>
      <c r="R43" s="120">
        <f>0</f>
        <v>0</v>
      </c>
      <c r="S43" s="124">
        <v>17</v>
      </c>
      <c r="T43" s="125" t="s">
        <v>30</v>
      </c>
      <c r="U43" s="120">
        <f>0</f>
        <v>0</v>
      </c>
      <c r="V43" s="120">
        <f>0</f>
        <v>0</v>
      </c>
      <c r="W43" s="120">
        <f>0</f>
        <v>0</v>
      </c>
      <c r="X43" s="120">
        <f>0</f>
        <v>0</v>
      </c>
      <c r="Y43" s="120">
        <f>0</f>
        <v>0</v>
      </c>
      <c r="Z43" s="120">
        <f>0</f>
        <v>0</v>
      </c>
      <c r="AA43" s="120">
        <f>0</f>
        <v>0</v>
      </c>
      <c r="AB43" s="124">
        <v>17</v>
      </c>
      <c r="AC43" s="125" t="s">
        <v>30</v>
      </c>
      <c r="AD43" s="120">
        <f>0</f>
        <v>0</v>
      </c>
      <c r="AE43" s="120">
        <f>0</f>
        <v>0</v>
      </c>
      <c r="AF43" s="120">
        <f>0</f>
        <v>0</v>
      </c>
      <c r="AG43" s="120">
        <f>0</f>
        <v>0</v>
      </c>
      <c r="AH43" s="120">
        <f>0</f>
        <v>0</v>
      </c>
      <c r="AI43" s="120">
        <f>0</f>
        <v>0</v>
      </c>
      <c r="AJ43" s="120">
        <f>0</f>
        <v>0</v>
      </c>
      <c r="AK43" s="124">
        <v>17</v>
      </c>
      <c r="AL43" s="125" t="s">
        <v>30</v>
      </c>
      <c r="AM43" s="120">
        <f>0</f>
        <v>0</v>
      </c>
      <c r="AN43" s="120">
        <f>0</f>
        <v>0</v>
      </c>
      <c r="AO43" s="120">
        <f>0</f>
        <v>0</v>
      </c>
      <c r="AP43" s="120">
        <f>0</f>
        <v>0</v>
      </c>
      <c r="AQ43" s="120">
        <f>0</f>
        <v>0</v>
      </c>
      <c r="AR43" s="120">
        <f>0</f>
        <v>0</v>
      </c>
      <c r="AS43" s="120">
        <f>0</f>
        <v>0</v>
      </c>
      <c r="AT43" s="124">
        <v>17</v>
      </c>
      <c r="AU43" s="125" t="s">
        <v>30</v>
      </c>
      <c r="AV43" s="120">
        <f>0</f>
        <v>0</v>
      </c>
      <c r="AW43" s="120">
        <f>0</f>
        <v>0</v>
      </c>
      <c r="AX43" s="120">
        <f>0</f>
        <v>0</v>
      </c>
    </row>
    <row r="44" spans="1:55" ht="24" customHeight="1">
      <c r="A44" s="126" t="s">
        <v>80</v>
      </c>
      <c r="B44" s="127" t="s">
        <v>31</v>
      </c>
      <c r="C44" s="121">
        <f>0</f>
        <v>0</v>
      </c>
      <c r="D44" s="121">
        <f>0</f>
        <v>0</v>
      </c>
      <c r="E44" s="121">
        <f>0</f>
        <v>0</v>
      </c>
      <c r="F44" s="121">
        <f>0</f>
        <v>0</v>
      </c>
      <c r="G44" s="121">
        <f>0</f>
        <v>0</v>
      </c>
      <c r="H44" s="121">
        <f>0</f>
        <v>0</v>
      </c>
      <c r="I44" s="121">
        <f>0</f>
        <v>0</v>
      </c>
      <c r="J44" s="126" t="s">
        <v>80</v>
      </c>
      <c r="K44" s="127" t="s">
        <v>31</v>
      </c>
      <c r="L44" s="121">
        <f>0</f>
        <v>0</v>
      </c>
      <c r="M44" s="121">
        <f>0</f>
        <v>0</v>
      </c>
      <c r="N44" s="121">
        <f>0</f>
        <v>0</v>
      </c>
      <c r="O44" s="121">
        <f>0</f>
        <v>0</v>
      </c>
      <c r="P44" s="121">
        <f>0</f>
        <v>0</v>
      </c>
      <c r="Q44" s="121">
        <f>0</f>
        <v>0</v>
      </c>
      <c r="R44" s="121">
        <f>0</f>
        <v>0</v>
      </c>
      <c r="S44" s="126" t="s">
        <v>80</v>
      </c>
      <c r="T44" s="127" t="s">
        <v>31</v>
      </c>
      <c r="U44" s="121">
        <f>0</f>
        <v>0</v>
      </c>
      <c r="V44" s="121">
        <f>0</f>
        <v>0</v>
      </c>
      <c r="W44" s="121">
        <f>0</f>
        <v>0</v>
      </c>
      <c r="X44" s="121">
        <f>0</f>
        <v>0</v>
      </c>
      <c r="Y44" s="121">
        <f>0</f>
        <v>0</v>
      </c>
      <c r="Z44" s="121">
        <f>0</f>
        <v>0</v>
      </c>
      <c r="AA44" s="121">
        <f>0</f>
        <v>0</v>
      </c>
      <c r="AB44" s="126" t="s">
        <v>80</v>
      </c>
      <c r="AC44" s="127" t="s">
        <v>31</v>
      </c>
      <c r="AD44" s="121">
        <f>0</f>
        <v>0</v>
      </c>
      <c r="AE44" s="121">
        <f>0</f>
        <v>0</v>
      </c>
      <c r="AF44" s="121">
        <f>0</f>
        <v>0</v>
      </c>
      <c r="AG44" s="121">
        <f>0</f>
        <v>0</v>
      </c>
      <c r="AH44" s="121">
        <f>0</f>
        <v>0</v>
      </c>
      <c r="AI44" s="121">
        <f>0</f>
        <v>0</v>
      </c>
      <c r="AJ44" s="121">
        <f>0</f>
        <v>0</v>
      </c>
      <c r="AK44" s="126" t="s">
        <v>80</v>
      </c>
      <c r="AL44" s="127" t="s">
        <v>31</v>
      </c>
      <c r="AM44" s="121">
        <f>0</f>
        <v>0</v>
      </c>
      <c r="AN44" s="121">
        <f>0</f>
        <v>0</v>
      </c>
      <c r="AO44" s="121">
        <f>0</f>
        <v>0</v>
      </c>
      <c r="AP44" s="121">
        <f>0</f>
        <v>0</v>
      </c>
      <c r="AQ44" s="121">
        <f>0</f>
        <v>0</v>
      </c>
      <c r="AR44" s="121">
        <f>0</f>
        <v>0</v>
      </c>
      <c r="AS44" s="121">
        <f>0</f>
        <v>0</v>
      </c>
      <c r="AT44" s="126" t="s">
        <v>80</v>
      </c>
      <c r="AU44" s="127" t="s">
        <v>31</v>
      </c>
      <c r="AV44" s="121">
        <f>0</f>
        <v>0</v>
      </c>
      <c r="AW44" s="121">
        <f>0</f>
        <v>0</v>
      </c>
      <c r="AX44" s="121">
        <f>0</f>
        <v>0</v>
      </c>
    </row>
    <row r="45" spans="1:55" ht="24" customHeight="1">
      <c r="A45" s="128">
        <v>18</v>
      </c>
      <c r="B45" s="192" t="s">
        <v>257</v>
      </c>
      <c r="C45" s="129">
        <f t="shared" ref="C45:E45" si="46">SUM(C36-C38)/C4</f>
        <v>0.4918120189573984</v>
      </c>
      <c r="D45" s="129">
        <f t="shared" si="46"/>
        <v>0.5788963271491081</v>
      </c>
      <c r="E45" s="129">
        <f t="shared" si="46"/>
        <v>0.40523310258414275</v>
      </c>
      <c r="F45" s="129">
        <f>SUM(F36)/F4</f>
        <v>0.80080296809222817</v>
      </c>
      <c r="G45" s="129">
        <f>SUM(G36)/G4</f>
        <v>0.47920706504897131</v>
      </c>
      <c r="H45" s="129">
        <f>SUM(H36)/H4</f>
        <v>0.48305180379746837</v>
      </c>
      <c r="I45" s="129">
        <f>SUM(I36)/I4</f>
        <v>0.39960406046263558</v>
      </c>
      <c r="J45" s="128">
        <v>18</v>
      </c>
      <c r="K45" s="192" t="s">
        <v>257</v>
      </c>
      <c r="L45" s="129">
        <f t="shared" ref="L45:R45" si="47">SUM(L36)/L4</f>
        <v>0.31549027751303732</v>
      </c>
      <c r="M45" s="129">
        <f t="shared" si="47"/>
        <v>0.23721563042958491</v>
      </c>
      <c r="N45" s="129">
        <f t="shared" si="47"/>
        <v>0.20019429694342147</v>
      </c>
      <c r="O45" s="129">
        <f t="shared" si="47"/>
        <v>0.16987510792348418</v>
      </c>
      <c r="P45" s="129">
        <f t="shared" si="47"/>
        <v>0.14749607864288328</v>
      </c>
      <c r="Q45" s="129">
        <f t="shared" si="47"/>
        <v>0.12606350645620754</v>
      </c>
      <c r="R45" s="129">
        <f t="shared" si="47"/>
        <v>0.10554583678398279</v>
      </c>
      <c r="S45" s="128">
        <v>18</v>
      </c>
      <c r="T45" s="192" t="s">
        <v>257</v>
      </c>
      <c r="U45" s="129">
        <f t="shared" ref="U45:AA45" si="48">SUM(U36)/U4</f>
        <v>8.5912446795219352E-2</v>
      </c>
      <c r="V45" s="129">
        <f t="shared" si="48"/>
        <v>6.7198652778515403E-2</v>
      </c>
      <c r="W45" s="129">
        <f t="shared" si="48"/>
        <v>4.9275870927151078E-2</v>
      </c>
      <c r="X45" s="129">
        <f t="shared" si="48"/>
        <v>3.2118375034491213E-2</v>
      </c>
      <c r="Y45" s="129">
        <f t="shared" si="48"/>
        <v>1.5701175398483966E-2</v>
      </c>
      <c r="Z45" s="129">
        <f t="shared" si="48"/>
        <v>0</v>
      </c>
      <c r="AA45" s="129">
        <f t="shared" si="48"/>
        <v>0</v>
      </c>
      <c r="AB45" s="128">
        <v>18</v>
      </c>
      <c r="AC45" s="192" t="s">
        <v>257</v>
      </c>
      <c r="AD45" s="129">
        <f t="shared" ref="AD45:AJ45" si="49">SUM(AD36)/AD4</f>
        <v>0</v>
      </c>
      <c r="AE45" s="129">
        <f t="shared" si="49"/>
        <v>0</v>
      </c>
      <c r="AF45" s="129">
        <f t="shared" si="49"/>
        <v>0</v>
      </c>
      <c r="AG45" s="129">
        <f t="shared" si="49"/>
        <v>0</v>
      </c>
      <c r="AH45" s="129">
        <f t="shared" si="49"/>
        <v>0</v>
      </c>
      <c r="AI45" s="129">
        <f t="shared" si="49"/>
        <v>0</v>
      </c>
      <c r="AJ45" s="129">
        <f t="shared" si="49"/>
        <v>0</v>
      </c>
      <c r="AK45" s="128">
        <v>18</v>
      </c>
      <c r="AL45" s="192" t="s">
        <v>257</v>
      </c>
      <c r="AM45" s="129">
        <f t="shared" ref="AM45:AS45" si="50">SUM(AM36)/AM4</f>
        <v>0</v>
      </c>
      <c r="AN45" s="129">
        <f t="shared" si="50"/>
        <v>0</v>
      </c>
      <c r="AO45" s="129">
        <f t="shared" si="50"/>
        <v>0</v>
      </c>
      <c r="AP45" s="129">
        <f t="shared" si="50"/>
        <v>0</v>
      </c>
      <c r="AQ45" s="129">
        <f t="shared" si="50"/>
        <v>0</v>
      </c>
      <c r="AR45" s="129">
        <f t="shared" si="50"/>
        <v>0</v>
      </c>
      <c r="AS45" s="129">
        <f t="shared" si="50"/>
        <v>0</v>
      </c>
      <c r="AT45" s="128">
        <v>18</v>
      </c>
      <c r="AU45" s="192" t="s">
        <v>257</v>
      </c>
      <c r="AV45" s="129">
        <f>SUM(AV36)/AV4</f>
        <v>0</v>
      </c>
      <c r="AW45" s="129">
        <f>SUM(AW36)/AW4</f>
        <v>0</v>
      </c>
      <c r="AX45" s="129">
        <f>SUM(AX36)/AX4</f>
        <v>0</v>
      </c>
    </row>
    <row r="46" spans="1:55" ht="24" customHeight="1">
      <c r="A46" s="130" t="s">
        <v>82</v>
      </c>
      <c r="B46" s="132" t="s">
        <v>258</v>
      </c>
      <c r="C46" s="131">
        <f>C36/C4</f>
        <v>0.4918120189573984</v>
      </c>
      <c r="D46" s="131">
        <f t="shared" ref="D46:E46" si="51">D36/D4</f>
        <v>0.5788963271491081</v>
      </c>
      <c r="E46" s="131">
        <f t="shared" si="51"/>
        <v>0.40523310258414275</v>
      </c>
      <c r="F46" s="131">
        <f>(F36-F38)/F4</f>
        <v>0.78783571811160591</v>
      </c>
      <c r="G46" s="131">
        <f t="shared" ref="G46:H46" si="52">(G36-G38)/G4</f>
        <v>0.47285695487230628</v>
      </c>
      <c r="H46" s="131">
        <f t="shared" si="52"/>
        <v>0.48305180379746837</v>
      </c>
      <c r="I46" s="131">
        <f t="shared" ref="I46" si="53">(I36-I38)/I4</f>
        <v>0.39960406046263558</v>
      </c>
      <c r="J46" s="130" t="s">
        <v>82</v>
      </c>
      <c r="K46" s="132" t="s">
        <v>258</v>
      </c>
      <c r="L46" s="131">
        <f t="shared" ref="L46:M46" si="54">(L36-L38)/L4</f>
        <v>0.31549027751303732</v>
      </c>
      <c r="M46" s="131">
        <f t="shared" si="54"/>
        <v>0.23721563042958491</v>
      </c>
      <c r="N46" s="131">
        <f t="shared" ref="N46:O46" si="55">(N36-N38)/N4</f>
        <v>0.20019429694342147</v>
      </c>
      <c r="O46" s="131">
        <f t="shared" si="55"/>
        <v>0.16987510792348418</v>
      </c>
      <c r="P46" s="131">
        <f t="shared" ref="P46:Q46" si="56">(P36-P38)/P4</f>
        <v>0.14749607864288328</v>
      </c>
      <c r="Q46" s="131">
        <f t="shared" si="56"/>
        <v>0.12606350645620754</v>
      </c>
      <c r="R46" s="131">
        <f t="shared" ref="R46" si="57">(R36-R38)/R4</f>
        <v>0.10554583678398279</v>
      </c>
      <c r="S46" s="130" t="s">
        <v>82</v>
      </c>
      <c r="T46" s="132" t="s">
        <v>258</v>
      </c>
      <c r="U46" s="131">
        <f t="shared" ref="U46:V46" si="58">(U36-U38)/U4</f>
        <v>8.5912446795219352E-2</v>
      </c>
      <c r="V46" s="131">
        <f t="shared" si="58"/>
        <v>6.7198652778515403E-2</v>
      </c>
      <c r="W46" s="131">
        <f t="shared" ref="W46:X46" si="59">(W36-W38)/W4</f>
        <v>4.9275870927151078E-2</v>
      </c>
      <c r="X46" s="131">
        <f t="shared" si="59"/>
        <v>3.2118375034491213E-2</v>
      </c>
      <c r="Y46" s="131">
        <f t="shared" ref="Y46:Z46" si="60">(Y36-Y38)/Y4</f>
        <v>1.5701175398483966E-2</v>
      </c>
      <c r="Z46" s="131">
        <f t="shared" si="60"/>
        <v>0</v>
      </c>
      <c r="AA46" s="131">
        <f t="shared" ref="AA46" si="61">(AA36-AA38)/AA4</f>
        <v>0</v>
      </c>
      <c r="AB46" s="130" t="s">
        <v>82</v>
      </c>
      <c r="AC46" s="132" t="s">
        <v>258</v>
      </c>
      <c r="AD46" s="131">
        <f t="shared" ref="AD46:AE46" si="62">(AD36-AD38)/AD4</f>
        <v>0</v>
      </c>
      <c r="AE46" s="131">
        <f t="shared" si="62"/>
        <v>0</v>
      </c>
      <c r="AF46" s="131">
        <f t="shared" ref="AF46:AG46" si="63">(AF36-AF38)/AF4</f>
        <v>0</v>
      </c>
      <c r="AG46" s="131">
        <f t="shared" si="63"/>
        <v>0</v>
      </c>
      <c r="AH46" s="131">
        <f t="shared" ref="AH46:AI46" si="64">(AH36-AH38)/AH4</f>
        <v>0</v>
      </c>
      <c r="AI46" s="131">
        <f t="shared" si="64"/>
        <v>0</v>
      </c>
      <c r="AJ46" s="131">
        <f t="shared" ref="AJ46" si="65">(AJ36-AJ38)/AJ4</f>
        <v>0</v>
      </c>
      <c r="AK46" s="130" t="s">
        <v>82</v>
      </c>
      <c r="AL46" s="132" t="s">
        <v>258</v>
      </c>
      <c r="AM46" s="131">
        <f t="shared" ref="AM46:AN46" si="66">(AM36-AM38)/AM4</f>
        <v>0</v>
      </c>
      <c r="AN46" s="131">
        <f t="shared" si="66"/>
        <v>0</v>
      </c>
      <c r="AO46" s="131">
        <f t="shared" ref="AO46:AP46" si="67">(AO36-AO38)/AO4</f>
        <v>0</v>
      </c>
      <c r="AP46" s="131">
        <f t="shared" si="67"/>
        <v>0</v>
      </c>
      <c r="AQ46" s="131">
        <f t="shared" ref="AQ46:AR46" si="68">(AQ36-AQ38)/AQ4</f>
        <v>0</v>
      </c>
      <c r="AR46" s="131">
        <f t="shared" si="68"/>
        <v>0</v>
      </c>
      <c r="AS46" s="131">
        <f t="shared" ref="AS46" si="69">(AS36-AS38)/AS4</f>
        <v>0</v>
      </c>
      <c r="AT46" s="130" t="s">
        <v>82</v>
      </c>
      <c r="AU46" s="132" t="s">
        <v>258</v>
      </c>
      <c r="AV46" s="131">
        <f t="shared" ref="AV46:AW46" si="70">(AV36-AV38)/AV4</f>
        <v>0</v>
      </c>
      <c r="AW46" s="131">
        <f t="shared" si="70"/>
        <v>0</v>
      </c>
      <c r="AX46" s="131">
        <f t="shared" ref="AX46" si="71">(AX36-AX38)/AX4</f>
        <v>0</v>
      </c>
    </row>
    <row r="47" spans="1:55" ht="24" customHeight="1">
      <c r="A47" s="130" t="s">
        <v>108</v>
      </c>
      <c r="B47" s="132" t="s">
        <v>259</v>
      </c>
      <c r="C47" s="131">
        <f>C36/C4</f>
        <v>0.4918120189573984</v>
      </c>
      <c r="D47" s="131">
        <f>D36/D4</f>
        <v>0.5788963271491081</v>
      </c>
      <c r="E47" s="131">
        <f>(E36-E37)/E4</f>
        <v>0.23821222007181544</v>
      </c>
      <c r="F47" s="131">
        <f>(F36-F37-F38)/F4</f>
        <v>0.4838484990772719</v>
      </c>
      <c r="G47" s="131">
        <f t="shared" ref="G47:H47" si="72">(G36-G37-G38)/G4</f>
        <v>0.24615065893810664</v>
      </c>
      <c r="H47" s="131">
        <f t="shared" si="72"/>
        <v>0.21910243670886076</v>
      </c>
      <c r="I47" s="131">
        <f t="shared" ref="I47" si="73">(I36-I37-I38)/I4</f>
        <v>0.14170225221205343</v>
      </c>
      <c r="J47" s="130" t="s">
        <v>108</v>
      </c>
      <c r="K47" s="132" t="s">
        <v>259</v>
      </c>
      <c r="L47" s="131">
        <f t="shared" ref="L47:M47" si="74">(L36-L37-L38)/L4</f>
        <v>7.1770405368959123E-2</v>
      </c>
      <c r="M47" s="131">
        <f t="shared" si="74"/>
        <v>1.9814711998566457E-2</v>
      </c>
      <c r="N47" s="131">
        <f t="shared" ref="N47:O47" si="75">(N36-N37-N38)/N4</f>
        <v>6.9611920239987142E-3</v>
      </c>
      <c r="O47" s="131">
        <f t="shared" si="75"/>
        <v>0</v>
      </c>
      <c r="P47" s="131">
        <f t="shared" ref="P47:Q47" si="76">(P36-P37-P38)/P4</f>
        <v>0</v>
      </c>
      <c r="Q47" s="131">
        <f t="shared" si="76"/>
        <v>0</v>
      </c>
      <c r="R47" s="131">
        <f t="shared" ref="R47" si="77">(R36-R37-R38)/R4</f>
        <v>0</v>
      </c>
      <c r="S47" s="130" t="s">
        <v>108</v>
      </c>
      <c r="T47" s="132" t="s">
        <v>259</v>
      </c>
      <c r="U47" s="131">
        <f t="shared" ref="U47:V47" si="78">(U36-U37-U38)/U4</f>
        <v>0</v>
      </c>
      <c r="V47" s="131">
        <f t="shared" si="78"/>
        <v>0</v>
      </c>
      <c r="W47" s="131">
        <f t="shared" ref="W47:X47" si="79">(W36-W37-W38)/W4</f>
        <v>0</v>
      </c>
      <c r="X47" s="131">
        <f t="shared" si="79"/>
        <v>0</v>
      </c>
      <c r="Y47" s="131">
        <f t="shared" ref="Y47:Z47" si="80">(Y36-Y37-Y38)/Y4</f>
        <v>0</v>
      </c>
      <c r="Z47" s="131">
        <f t="shared" si="80"/>
        <v>0</v>
      </c>
      <c r="AA47" s="131">
        <f t="shared" ref="AA47" si="81">(AA36-AA37-AA38)/AA4</f>
        <v>0</v>
      </c>
      <c r="AB47" s="130" t="s">
        <v>108</v>
      </c>
      <c r="AC47" s="132" t="s">
        <v>259</v>
      </c>
      <c r="AD47" s="131">
        <f t="shared" ref="AD47:AE47" si="82">(AD36-AD37-AD38)/AD4</f>
        <v>0</v>
      </c>
      <c r="AE47" s="131">
        <f t="shared" si="82"/>
        <v>0</v>
      </c>
      <c r="AF47" s="131">
        <f t="shared" ref="AF47:AG47" si="83">(AF36-AF37-AF38)/AF4</f>
        <v>0</v>
      </c>
      <c r="AG47" s="131">
        <f t="shared" si="83"/>
        <v>0</v>
      </c>
      <c r="AH47" s="131">
        <f t="shared" ref="AH47:AI47" si="84">(AH36-AH37-AH38)/AH4</f>
        <v>0</v>
      </c>
      <c r="AI47" s="131">
        <f t="shared" si="84"/>
        <v>0</v>
      </c>
      <c r="AJ47" s="131">
        <f t="shared" ref="AJ47" si="85">(AJ36-AJ37-AJ38)/AJ4</f>
        <v>0</v>
      </c>
      <c r="AK47" s="130" t="s">
        <v>108</v>
      </c>
      <c r="AL47" s="132" t="s">
        <v>259</v>
      </c>
      <c r="AM47" s="131">
        <f t="shared" ref="AM47:AN47" si="86">(AM36-AM37-AM38)/AM4</f>
        <v>0</v>
      </c>
      <c r="AN47" s="131">
        <f t="shared" si="86"/>
        <v>0</v>
      </c>
      <c r="AO47" s="131">
        <f t="shared" ref="AO47:AP47" si="87">(AO36-AO37-AO38)/AO4</f>
        <v>0</v>
      </c>
      <c r="AP47" s="131">
        <f t="shared" si="87"/>
        <v>0</v>
      </c>
      <c r="AQ47" s="131">
        <f t="shared" ref="AQ47:AR47" si="88">(AQ36-AQ37-AQ38)/AQ4</f>
        <v>0</v>
      </c>
      <c r="AR47" s="131">
        <f t="shared" si="88"/>
        <v>0</v>
      </c>
      <c r="AS47" s="131">
        <f t="shared" ref="AS47" si="89">(AS36-AS37-AS38)/AS4</f>
        <v>0</v>
      </c>
      <c r="AT47" s="130" t="s">
        <v>108</v>
      </c>
      <c r="AU47" s="132" t="s">
        <v>259</v>
      </c>
      <c r="AV47" s="131">
        <f t="shared" ref="AV47:AW47" si="90">(AV36-AV37-AV38)/AV4</f>
        <v>0</v>
      </c>
      <c r="AW47" s="131">
        <f t="shared" si="90"/>
        <v>0</v>
      </c>
      <c r="AX47" s="131">
        <f t="shared" ref="AX47" si="91">(AX36-AX37-AX38)/AX4</f>
        <v>0</v>
      </c>
    </row>
    <row r="48" spans="1:55" ht="24" customHeight="1">
      <c r="A48" s="130">
        <v>19</v>
      </c>
      <c r="B48" s="132" t="s">
        <v>260</v>
      </c>
      <c r="C48" s="131">
        <f t="shared" ref="C48:E48" si="92">SUM(C24+C13+C26-C14-C25)/C4</f>
        <v>0.10781518215452934</v>
      </c>
      <c r="D48" s="131">
        <f t="shared" si="92"/>
        <v>0.10390196462287565</v>
      </c>
      <c r="E48" s="131">
        <f t="shared" si="92"/>
        <v>6.2327015802360566E-2</v>
      </c>
      <c r="F48" s="131">
        <f>SUM(F24+F13+F27)/F4</f>
        <v>0.12470141823151167</v>
      </c>
      <c r="G48" s="131">
        <f t="shared" ref="G48:H48" si="93">SUM(G24+G13+G27)/G4</f>
        <v>9.6372311491319432E-2</v>
      </c>
      <c r="H48" s="131">
        <f t="shared" si="93"/>
        <v>0.11657122965641953</v>
      </c>
      <c r="I48" s="131">
        <f t="shared" ref="I48" si="94">SUM(I24+I13+I27)/I4</f>
        <v>0.11591612910959771</v>
      </c>
      <c r="J48" s="130">
        <v>19</v>
      </c>
      <c r="K48" s="132" t="s">
        <v>260</v>
      </c>
      <c r="L48" s="131">
        <f t="shared" ref="L48:M48" si="95">SUM(L24+L13+L27)/L4</f>
        <v>9.5236726990477819E-2</v>
      </c>
      <c r="M48" s="131">
        <f t="shared" si="95"/>
        <v>6.7125500208736047E-2</v>
      </c>
      <c r="N48" s="131">
        <f t="shared" ref="N48:O48" si="96">SUM(N24+N13+N27)/N4</f>
        <v>2.5479673474973607E-2</v>
      </c>
      <c r="O48" s="131">
        <f t="shared" si="96"/>
        <v>1.7918172351380598E-2</v>
      </c>
      <c r="P48" s="131">
        <f t="shared" ref="P48:Q48" si="97">SUM(P24+P13+P27)/P4</f>
        <v>9.6400839621356947E-3</v>
      </c>
      <c r="Q48" s="131">
        <f t="shared" si="97"/>
        <v>8.3960001895219093E-3</v>
      </c>
      <c r="R48" s="131">
        <f t="shared" ref="R48" si="98">SUM(R24+R13+R27)/R4</f>
        <v>7.1600624649943694E-3</v>
      </c>
      <c r="S48" s="130">
        <v>19</v>
      </c>
      <c r="T48" s="132" t="s">
        <v>260</v>
      </c>
      <c r="U48" s="131">
        <f t="shared" ref="U48:V48" si="99">SUM(U24+U13+U27)/U4</f>
        <v>5.9960724184739411E-3</v>
      </c>
      <c r="V48" s="131">
        <f t="shared" si="99"/>
        <v>4.885534126809388E-3</v>
      </c>
      <c r="W48" s="131">
        <f t="shared" ref="W48:X48" si="100">SUM(W24+W13+W27)/W4</f>
        <v>3.8293643923085277E-3</v>
      </c>
      <c r="X48" s="131">
        <f t="shared" si="100"/>
        <v>2.7941076305662313E-3</v>
      </c>
      <c r="Y48" s="131">
        <f t="shared" ref="Y48:Z48" si="101">SUM(Y24+Y13+Y27)/Y4</f>
        <v>1.820559269060739E-3</v>
      </c>
      <c r="Z48" s="131">
        <f t="shared" si="101"/>
        <v>8.8563913395947852E-4</v>
      </c>
      <c r="AA48" s="131">
        <f t="shared" ref="AA48" si="102">SUM(AA24+AA13+AA27)/AA4</f>
        <v>3.1700786992210311E-4</v>
      </c>
      <c r="AB48" s="130">
        <v>19</v>
      </c>
      <c r="AC48" s="132" t="s">
        <v>260</v>
      </c>
      <c r="AD48" s="131">
        <f t="shared" ref="AD48:AE48" si="103">SUM(AD24+AD13+AD27)/AD4</f>
        <v>2.9613600054285961E-4</v>
      </c>
      <c r="AE48" s="131">
        <f t="shared" si="103"/>
        <v>2.7601001794920748E-4</v>
      </c>
      <c r="AF48" s="131">
        <f t="shared" ref="AF48:AG48" si="104">SUM(AF24+AF13+AF27)/AF4</f>
        <v>2.5795834237481825E-4</v>
      </c>
      <c r="AG48" s="131">
        <f t="shared" si="104"/>
        <v>2.4055113807915527E-4</v>
      </c>
      <c r="AH48" s="131">
        <f t="shared" ref="AH48:AI48" si="105">SUM(AH24+AH13+AH27)/AH4</f>
        <v>2.2398684438516576E-4</v>
      </c>
      <c r="AI48" s="131">
        <f t="shared" si="105"/>
        <v>2.0926634150397486E-4</v>
      </c>
      <c r="AJ48" s="131">
        <f t="shared" ref="AJ48" si="106">SUM(AJ24+AJ13+AJ27)/AJ4</f>
        <v>1.9629544770730271E-4</v>
      </c>
      <c r="AK48" s="130">
        <v>19</v>
      </c>
      <c r="AL48" s="132" t="s">
        <v>260</v>
      </c>
      <c r="AM48" s="131">
        <f t="shared" ref="AM48:AN48" si="107">SUM(AM24+AM13+AM27)/AM4</f>
        <v>1.6551160861304399E-4</v>
      </c>
      <c r="AN48" s="131">
        <f t="shared" si="107"/>
        <v>1.549772825954241E-4</v>
      </c>
      <c r="AO48" s="131">
        <f t="shared" ref="AO48:AP48" si="108">SUM(AO24+AO13+AO27)/AO4</f>
        <v>1.4611385025226322E-4</v>
      </c>
      <c r="AP48" s="131">
        <f t="shared" si="108"/>
        <v>1.4326726053582277E-4</v>
      </c>
      <c r="AQ48" s="131">
        <f t="shared" ref="AQ48:AR48" si="109">SUM(AQ24+AQ13+AQ27)/AQ4</f>
        <v>1.4047577819984944E-4</v>
      </c>
      <c r="AR48" s="131">
        <f t="shared" si="109"/>
        <v>1.355345346512109E-4</v>
      </c>
      <c r="AS48" s="131">
        <f t="shared" ref="AS48" si="110">SUM(AS24+AS13+AS27)/AS4</f>
        <v>1.3181264185660311E-4</v>
      </c>
      <c r="AT48" s="130">
        <v>19</v>
      </c>
      <c r="AU48" s="132" t="s">
        <v>260</v>
      </c>
      <c r="AV48" s="131">
        <f t="shared" ref="AV48:AW48" si="111">SUM(AV24+AV13+AV27)/AV4</f>
        <v>1.0593722418581576E-4</v>
      </c>
      <c r="AW48" s="131">
        <f t="shared" si="111"/>
        <v>1.2360780605939384E-4</v>
      </c>
      <c r="AX48" s="131">
        <f t="shared" ref="AX48" si="112">SUM(AX24+AX13+AX27)/AX4</f>
        <v>1.2017947643749982E-4</v>
      </c>
    </row>
    <row r="49" spans="1:53" ht="36">
      <c r="A49" s="126" t="s">
        <v>83</v>
      </c>
      <c r="B49" s="133" t="s">
        <v>261</v>
      </c>
      <c r="C49" s="131">
        <f>SUM(C24+C13+C26)/C4</f>
        <v>0.10781518215452934</v>
      </c>
      <c r="D49" s="131">
        <f t="shared" ref="D49:E49" si="113">SUM(D24+D13+D26)/D4</f>
        <v>0.10390196462287565</v>
      </c>
      <c r="E49" s="131">
        <f t="shared" si="113"/>
        <v>6.2327015802360566E-2</v>
      </c>
      <c r="F49" s="131">
        <f>SUM(F24+F13+F27-F14-F25)/F4</f>
        <v>0.12470141823151167</v>
      </c>
      <c r="G49" s="131">
        <f t="shared" ref="G49:H49" si="114">SUM(G24+G13+G27-G14-G25)/G4</f>
        <v>9.6372311491319432E-2</v>
      </c>
      <c r="H49" s="131">
        <f t="shared" si="114"/>
        <v>0.11657122965641953</v>
      </c>
      <c r="I49" s="131">
        <f t="shared" ref="I49" si="115">SUM(I24+I13+I27-I14-I25)/I4</f>
        <v>0.11591612910959771</v>
      </c>
      <c r="J49" s="126" t="s">
        <v>83</v>
      </c>
      <c r="K49" s="133" t="s">
        <v>261</v>
      </c>
      <c r="L49" s="131">
        <f t="shared" ref="L49:M49" si="116">SUM(L24+L13+L27-L14-L25)/L4</f>
        <v>9.5236726990477819E-2</v>
      </c>
      <c r="M49" s="131">
        <f t="shared" si="116"/>
        <v>6.7125500208736047E-2</v>
      </c>
      <c r="N49" s="131">
        <f t="shared" ref="N49:O49" si="117">SUM(N24+N13+N27-N14-N25)/N4</f>
        <v>2.5479673474973607E-2</v>
      </c>
      <c r="O49" s="131">
        <f t="shared" si="117"/>
        <v>1.7918172351380598E-2</v>
      </c>
      <c r="P49" s="131">
        <f t="shared" ref="P49:Q49" si="118">SUM(P24+P13+P27-P14-P25)/P4</f>
        <v>9.6400839621356947E-3</v>
      </c>
      <c r="Q49" s="131">
        <f t="shared" si="118"/>
        <v>8.3960001895219093E-3</v>
      </c>
      <c r="R49" s="131">
        <f t="shared" ref="R49" si="119">SUM(R24+R13+R27-R14-R25)/R4</f>
        <v>7.1600624649943694E-3</v>
      </c>
      <c r="S49" s="126" t="s">
        <v>83</v>
      </c>
      <c r="T49" s="133" t="s">
        <v>261</v>
      </c>
      <c r="U49" s="131">
        <f t="shared" ref="U49:V49" si="120">SUM(U24+U13+U27-U14-U25)/U4</f>
        <v>5.9960724184739411E-3</v>
      </c>
      <c r="V49" s="131">
        <f t="shared" si="120"/>
        <v>4.885534126809388E-3</v>
      </c>
      <c r="W49" s="131">
        <f t="shared" ref="W49:X49" si="121">SUM(W24+W13+W27-W14-W25)/W4</f>
        <v>3.8293643923085277E-3</v>
      </c>
      <c r="X49" s="131">
        <f t="shared" si="121"/>
        <v>2.7941076305662313E-3</v>
      </c>
      <c r="Y49" s="131">
        <f t="shared" ref="Y49:Z49" si="122">SUM(Y24+Y13+Y27-Y14-Y25)/Y4</f>
        <v>1.820559269060739E-3</v>
      </c>
      <c r="Z49" s="131">
        <f t="shared" si="122"/>
        <v>8.8563913395947852E-4</v>
      </c>
      <c r="AA49" s="131">
        <f t="shared" ref="AA49" si="123">SUM(AA24+AA13+AA27-AA14-AA25)/AA4</f>
        <v>3.1700786992210311E-4</v>
      </c>
      <c r="AB49" s="126" t="s">
        <v>83</v>
      </c>
      <c r="AC49" s="133" t="s">
        <v>261</v>
      </c>
      <c r="AD49" s="131">
        <f t="shared" ref="AD49:AE49" si="124">SUM(AD24+AD13+AD27-AD14-AD25)/AD4</f>
        <v>2.9613600054285961E-4</v>
      </c>
      <c r="AE49" s="131">
        <f t="shared" si="124"/>
        <v>2.7601001794920748E-4</v>
      </c>
      <c r="AF49" s="131">
        <f t="shared" ref="AF49:AG49" si="125">SUM(AF24+AF13+AF27-AF14-AF25)/AF4</f>
        <v>2.5795834237481825E-4</v>
      </c>
      <c r="AG49" s="131">
        <f t="shared" si="125"/>
        <v>2.4055113807915527E-4</v>
      </c>
      <c r="AH49" s="131">
        <f t="shared" ref="AH49:AI49" si="126">SUM(AH24+AH13+AH27-AH14-AH25)/AH4</f>
        <v>2.2398684438516576E-4</v>
      </c>
      <c r="AI49" s="131">
        <f t="shared" si="126"/>
        <v>2.0926634150397486E-4</v>
      </c>
      <c r="AJ49" s="131">
        <f t="shared" ref="AJ49" si="127">SUM(AJ24+AJ13+AJ27-AJ14-AJ25)/AJ4</f>
        <v>1.9629544770730271E-4</v>
      </c>
      <c r="AK49" s="126" t="s">
        <v>83</v>
      </c>
      <c r="AL49" s="133" t="s">
        <v>261</v>
      </c>
      <c r="AM49" s="131">
        <f t="shared" ref="AM49:AN49" si="128">SUM(AM24+AM13+AM27-AM14-AM25)/AM4</f>
        <v>1.6551160861304399E-4</v>
      </c>
      <c r="AN49" s="131">
        <f t="shared" si="128"/>
        <v>1.549772825954241E-4</v>
      </c>
      <c r="AO49" s="131">
        <f t="shared" ref="AO49:AP49" si="129">SUM(AO24+AO13+AO27-AO14-AO25)/AO4</f>
        <v>1.4611385025226322E-4</v>
      </c>
      <c r="AP49" s="131">
        <f t="shared" si="129"/>
        <v>1.4326726053582277E-4</v>
      </c>
      <c r="AQ49" s="131">
        <f t="shared" ref="AQ49:AR49" si="130">SUM(AQ24+AQ13+AQ27-AQ14-AQ25)/AQ4</f>
        <v>1.4047577819984944E-4</v>
      </c>
      <c r="AR49" s="131">
        <f t="shared" si="130"/>
        <v>1.355345346512109E-4</v>
      </c>
      <c r="AS49" s="131">
        <f t="shared" ref="AS49" si="131">SUM(AS24+AS13+AS27-AS14-AS25)/AS4</f>
        <v>1.3181264185660311E-4</v>
      </c>
      <c r="AT49" s="126" t="s">
        <v>83</v>
      </c>
      <c r="AU49" s="133" t="s">
        <v>261</v>
      </c>
      <c r="AV49" s="131">
        <f t="shared" ref="AV49:AW49" si="132">SUM(AV24+AV13+AV27-AV14-AV25)/AV4</f>
        <v>1.0593722418581576E-4</v>
      </c>
      <c r="AW49" s="131">
        <f t="shared" si="132"/>
        <v>1.2360780605939384E-4</v>
      </c>
      <c r="AX49" s="131">
        <f t="shared" ref="AX49" si="133">SUM(AX24+AX13+AX27-AX14-AX25)/AX4</f>
        <v>1.2017947643749982E-4</v>
      </c>
    </row>
    <row r="50" spans="1:53" ht="24">
      <c r="A50" s="128">
        <v>20</v>
      </c>
      <c r="B50" s="192" t="s">
        <v>262</v>
      </c>
      <c r="C50" s="129">
        <f>(C5-C57+C8)/C4</f>
        <v>0.19576683529523337</v>
      </c>
      <c r="D50" s="129">
        <f>(D5-D57+D8)/D4</f>
        <v>0.15481293973967439</v>
      </c>
      <c r="E50" s="129">
        <f>(E5-E57+E8)/E4</f>
        <v>7.8256721915025834E-2</v>
      </c>
      <c r="F50" s="129">
        <f>(F5-F57+F8)/F4</f>
        <v>0.15847819690290477</v>
      </c>
      <c r="G50" s="129">
        <f t="shared" ref="G50:I50" si="134">(G5-G57+G8)/G4</f>
        <v>0.11996169665287122</v>
      </c>
      <c r="H50" s="129">
        <f t="shared" si="134"/>
        <v>0.22594464737793851</v>
      </c>
      <c r="I50" s="129">
        <f t="shared" si="134"/>
        <v>0.22038734934337201</v>
      </c>
      <c r="J50" s="128">
        <v>20</v>
      </c>
      <c r="K50" s="192" t="s">
        <v>262</v>
      </c>
      <c r="L50" s="129">
        <f t="shared" ref="L50:M50" si="135">(L5-L57+L8)/L4</f>
        <v>0.184179227376915</v>
      </c>
      <c r="M50" s="129">
        <f t="shared" si="135"/>
        <v>0.18759508304582012</v>
      </c>
      <c r="N50" s="129">
        <f t="shared" ref="N50:O50" si="136">(N5-N57+N8)/N4</f>
        <v>0.19023313594495678</v>
      </c>
      <c r="O50" s="129">
        <f t="shared" si="136"/>
        <v>0.19228924802665515</v>
      </c>
      <c r="P50" s="129">
        <f t="shared" ref="P50:Q50" si="137">(P5-P57+P8)/P4</f>
        <v>0.19387051652275095</v>
      </c>
      <c r="Q50" s="129">
        <f t="shared" si="137"/>
        <v>0.19521362869110198</v>
      </c>
      <c r="R50" s="129">
        <f t="shared" ref="R50" si="138">(R5-R57+R8)/R4</f>
        <v>0.19654492102756657</v>
      </c>
      <c r="S50" s="128">
        <v>20</v>
      </c>
      <c r="T50" s="192" t="s">
        <v>262</v>
      </c>
      <c r="U50" s="129">
        <f t="shared" ref="U50:V50" si="139">(U5-U57+U8)/U4</f>
        <v>0.19780074354066701</v>
      </c>
      <c r="V50" s="129">
        <f t="shared" si="139"/>
        <v>0.1989954587735685</v>
      </c>
      <c r="W50" s="129">
        <f t="shared" ref="W50:X50" si="140">(W5-W57+W8)/W4</f>
        <v>0.20013274142632456</v>
      </c>
      <c r="X50" s="129">
        <f t="shared" si="140"/>
        <v>0.2012477123051237</v>
      </c>
      <c r="Y50" s="129">
        <f t="shared" ref="Y50:Z50" si="141">(Y5-Y57+Y8)/Y4</f>
        <v>0.20229807920982457</v>
      </c>
      <c r="Z50" s="129">
        <f t="shared" si="141"/>
        <v>0.20330999933109584</v>
      </c>
      <c r="AA50" s="129">
        <f t="shared" ref="AA50" si="142">(AA5-AA57+AA8)/AA4</f>
        <v>0.2039503849253651</v>
      </c>
      <c r="AB50" s="128">
        <v>20</v>
      </c>
      <c r="AC50" s="192" t="s">
        <v>262</v>
      </c>
      <c r="AD50" s="129">
        <f t="shared" ref="AD50:AE50" si="143">(AD5-AD57+AD8)/AD4</f>
        <v>0.2040432463477547</v>
      </c>
      <c r="AE50" s="129">
        <f t="shared" si="143"/>
        <v>0.20413413877104719</v>
      </c>
      <c r="AF50" s="129">
        <f t="shared" ref="AF50:AG50" si="144">(AF5-AF57+AF8)/AF4</f>
        <v>0.20422310760308174</v>
      </c>
      <c r="AG50" s="129">
        <f t="shared" si="144"/>
        <v>0.20431019264868319</v>
      </c>
      <c r="AH50" s="129">
        <f t="shared" ref="AH50:AI50" si="145">(AH5-AH57+AH8)/AH4</f>
        <v>0.20439162072206651</v>
      </c>
      <c r="AI50" s="129">
        <f t="shared" si="145"/>
        <v>0.20447140279688145</v>
      </c>
      <c r="AJ50" s="129">
        <f t="shared" ref="AJ50" si="146">(AJ5-AJ57+AJ8)/AJ4</f>
        <v>0.2045495718932947</v>
      </c>
      <c r="AK50" s="128">
        <v>20</v>
      </c>
      <c r="AL50" s="192" t="s">
        <v>262</v>
      </c>
      <c r="AM50" s="129">
        <f t="shared" ref="AM50:AN50" si="147">(AM5-AM57+AM8)/AM4</f>
        <v>0.20462615168849285</v>
      </c>
      <c r="AN50" s="129">
        <f t="shared" si="147"/>
        <v>0.20470118341368271</v>
      </c>
      <c r="AO50" s="129">
        <f t="shared" ref="AO50:AP50" si="148">(AO5-AO57+AO8)/AO4</f>
        <v>0.15707969471369557</v>
      </c>
      <c r="AP50" s="129">
        <f t="shared" si="148"/>
        <v>0.1571422935703877</v>
      </c>
      <c r="AQ50" s="129">
        <f t="shared" ref="AQ50:AR50" si="149">(AQ5-AQ57+AQ8)/AQ4</f>
        <v>0.15720366758207427</v>
      </c>
      <c r="AR50" s="129">
        <f t="shared" si="149"/>
        <v>0.1572638609901395</v>
      </c>
      <c r="AS50" s="129">
        <f t="shared" ref="AS50" si="150">(AS5-AS57+AS8)/AS4</f>
        <v>0.15732289345517173</v>
      </c>
      <c r="AT50" s="128">
        <v>20</v>
      </c>
      <c r="AU50" s="192" t="s">
        <v>262</v>
      </c>
      <c r="AV50" s="129">
        <f t="shared" ref="AV50:AW50" si="151">(AV5-AV57+AV8)/AV4</f>
        <v>0.15738077459306704</v>
      </c>
      <c r="AW50" s="129">
        <f t="shared" si="151"/>
        <v>0.15743753830089147</v>
      </c>
      <c r="AX50" s="129">
        <f t="shared" ref="AX50" si="152">(AX5-AX57+AX8)/AX4</f>
        <v>0.15749320766987049</v>
      </c>
    </row>
    <row r="51" spans="1:53" ht="24">
      <c r="A51" s="130" t="s">
        <v>85</v>
      </c>
      <c r="B51" s="132" t="s">
        <v>263</v>
      </c>
      <c r="C51" s="193" t="s">
        <v>107</v>
      </c>
      <c r="D51" s="193" t="s">
        <v>107</v>
      </c>
      <c r="E51" s="131">
        <v>0.1908</v>
      </c>
      <c r="F51" s="131">
        <v>0.1908</v>
      </c>
      <c r="G51" s="131">
        <f>SUM(C50+D50+F50)/3</f>
        <v>0.16968599064593751</v>
      </c>
      <c r="H51" s="131">
        <f>SUM(D50+F50+G50)/3</f>
        <v>0.14441761109848344</v>
      </c>
      <c r="I51" s="131">
        <f>SUM(E50+G50+H50)/3</f>
        <v>0.14138768864861187</v>
      </c>
      <c r="J51" s="130" t="s">
        <v>85</v>
      </c>
      <c r="K51" s="132" t="s">
        <v>263</v>
      </c>
      <c r="L51" s="131">
        <f>SUM(G50:I50)/3</f>
        <v>0.18876456445806059</v>
      </c>
      <c r="M51" s="131">
        <f>SUM(H50:I50,L50)/3</f>
        <v>0.21017040803274187</v>
      </c>
      <c r="N51" s="131">
        <f>SUM(I50,L50:M50)/3</f>
        <v>0.1973872199220357</v>
      </c>
      <c r="O51" s="131">
        <f t="shared" ref="O51:R51" si="153">SUM(L50:N50)/3</f>
        <v>0.18733581545589728</v>
      </c>
      <c r="P51" s="131">
        <f t="shared" si="153"/>
        <v>0.19003915567247734</v>
      </c>
      <c r="Q51" s="131">
        <f t="shared" si="153"/>
        <v>0.19213096683145428</v>
      </c>
      <c r="R51" s="131">
        <f t="shared" si="153"/>
        <v>0.19379113108016935</v>
      </c>
      <c r="S51" s="130" t="s">
        <v>85</v>
      </c>
      <c r="T51" s="132" t="s">
        <v>263</v>
      </c>
      <c r="U51" s="131">
        <f>SUM(P50:R50)/3</f>
        <v>0.19520968874713984</v>
      </c>
      <c r="V51" s="131">
        <f>SUM(Q50:R50,U50)/3</f>
        <v>0.1965197644197785</v>
      </c>
      <c r="W51" s="131">
        <f>SUM(R50,U50:V50)/3</f>
        <v>0.19778037444726737</v>
      </c>
      <c r="X51" s="131">
        <f t="shared" ref="X51" si="154">SUM(U50:W50)/3</f>
        <v>0.19897631458018669</v>
      </c>
      <c r="Y51" s="131">
        <f t="shared" ref="Y51:AA51" si="155">SUM(V50:X50)/3</f>
        <v>0.20012530416833893</v>
      </c>
      <c r="Z51" s="131">
        <f t="shared" si="155"/>
        <v>0.20122617764709094</v>
      </c>
      <c r="AA51" s="131">
        <f t="shared" si="155"/>
        <v>0.20228526361534804</v>
      </c>
      <c r="AB51" s="130" t="s">
        <v>85</v>
      </c>
      <c r="AC51" s="132" t="s">
        <v>263</v>
      </c>
      <c r="AD51" s="131">
        <f>SUM(Y50:AA50)/3</f>
        <v>0.20318615448876184</v>
      </c>
      <c r="AE51" s="131">
        <f>SUM(Z50:AA50,AD50)/3</f>
        <v>0.20376787686807188</v>
      </c>
      <c r="AF51" s="131">
        <f>SUM(AA50,AD50:AE50)/3</f>
        <v>0.20404259001472233</v>
      </c>
      <c r="AG51" s="131">
        <f t="shared" ref="AG51:AJ51" si="156">SUM(AD50:AF50)/3</f>
        <v>0.20413349757396118</v>
      </c>
      <c r="AH51" s="131">
        <f t="shared" si="156"/>
        <v>0.20422247967427073</v>
      </c>
      <c r="AI51" s="131">
        <f t="shared" si="156"/>
        <v>0.20430830699127714</v>
      </c>
      <c r="AJ51" s="131">
        <f t="shared" si="156"/>
        <v>0.20439107205587706</v>
      </c>
      <c r="AK51" s="130" t="s">
        <v>85</v>
      </c>
      <c r="AL51" s="132" t="s">
        <v>263</v>
      </c>
      <c r="AM51" s="131">
        <f>SUM(AH50:AJ50)/3</f>
        <v>0.20447086513741422</v>
      </c>
      <c r="AN51" s="131">
        <f>SUM(AI50:AJ50,AM50)/3</f>
        <v>0.20454904212622302</v>
      </c>
      <c r="AO51" s="131">
        <f>SUM(AJ50,AM50:AN50)/3</f>
        <v>0.20462563566515676</v>
      </c>
      <c r="AP51" s="131">
        <f t="shared" ref="AP51:AS51" si="157">SUM(AM50:AO50)/3</f>
        <v>0.18880234327195702</v>
      </c>
      <c r="AQ51" s="131">
        <f t="shared" si="157"/>
        <v>0.17297439056592198</v>
      </c>
      <c r="AR51" s="131">
        <f t="shared" si="157"/>
        <v>0.15714188528871917</v>
      </c>
      <c r="AS51" s="131">
        <f t="shared" si="157"/>
        <v>0.15720327404753381</v>
      </c>
      <c r="AT51" s="130" t="s">
        <v>85</v>
      </c>
      <c r="AU51" s="132" t="s">
        <v>263</v>
      </c>
      <c r="AV51" s="131">
        <f>SUM(AQ50:AS50)/3</f>
        <v>0.15726347400912852</v>
      </c>
      <c r="AW51" s="131">
        <f>SUM(AR50:AS50,AV50)/3</f>
        <v>0.15732250967945943</v>
      </c>
      <c r="AX51" s="131">
        <f>SUM(AS50,AV50:AW50)/3</f>
        <v>0.15738040211637674</v>
      </c>
    </row>
    <row r="52" spans="1:53" ht="24" customHeight="1">
      <c r="A52" s="130">
        <v>21</v>
      </c>
      <c r="B52" s="132" t="s">
        <v>264</v>
      </c>
      <c r="C52" s="131">
        <f>SUM(C23+C13+C41)/C4</f>
        <v>0.10781518215452934</v>
      </c>
      <c r="D52" s="131">
        <f t="shared" ref="D52:E52" si="158">SUM(D23+D13+D41)/D4</f>
        <v>0.10390196462287565</v>
      </c>
      <c r="E52" s="131">
        <f t="shared" si="158"/>
        <v>6.2327015802360566E-2</v>
      </c>
      <c r="F52" s="131">
        <f>(F24+F27+F13+F41)/F4</f>
        <v>0.12470141823151167</v>
      </c>
      <c r="G52" s="131">
        <f t="shared" ref="G52:I52" si="159">(G24+G27+G13+G41)/G4</f>
        <v>9.6372311491319432E-2</v>
      </c>
      <c r="H52" s="131">
        <f t="shared" si="159"/>
        <v>0.11657122965641953</v>
      </c>
      <c r="I52" s="131">
        <f t="shared" si="159"/>
        <v>0.11591612910959771</v>
      </c>
      <c r="J52" s="130">
        <v>21</v>
      </c>
      <c r="K52" s="132" t="s">
        <v>264</v>
      </c>
      <c r="L52" s="131">
        <f t="shared" ref="L52:R52" si="160">(L24+L27+L13+L41)/L4</f>
        <v>9.5236726990477819E-2</v>
      </c>
      <c r="M52" s="131">
        <f t="shared" si="160"/>
        <v>6.7125500208736047E-2</v>
      </c>
      <c r="N52" s="131">
        <f t="shared" si="160"/>
        <v>2.5479673474973607E-2</v>
      </c>
      <c r="O52" s="131">
        <f t="shared" si="160"/>
        <v>1.7918172351380598E-2</v>
      </c>
      <c r="P52" s="131">
        <f t="shared" si="160"/>
        <v>9.6400839621356947E-3</v>
      </c>
      <c r="Q52" s="131">
        <f t="shared" si="160"/>
        <v>8.3960001895219093E-3</v>
      </c>
      <c r="R52" s="131">
        <f t="shared" si="160"/>
        <v>7.1600624649943694E-3</v>
      </c>
      <c r="S52" s="130">
        <v>21</v>
      </c>
      <c r="T52" s="132" t="s">
        <v>264</v>
      </c>
      <c r="U52" s="131">
        <f t="shared" ref="U52:AA52" si="161">(U24+U27+U13+U41)/U4</f>
        <v>5.9960724184739411E-3</v>
      </c>
      <c r="V52" s="131">
        <f t="shared" si="161"/>
        <v>4.885534126809388E-3</v>
      </c>
      <c r="W52" s="131">
        <f t="shared" si="161"/>
        <v>3.8293643923085277E-3</v>
      </c>
      <c r="X52" s="131">
        <f t="shared" si="161"/>
        <v>2.7941076305662313E-3</v>
      </c>
      <c r="Y52" s="131">
        <f t="shared" si="161"/>
        <v>1.820559269060739E-3</v>
      </c>
      <c r="Z52" s="131">
        <f t="shared" si="161"/>
        <v>8.8563913395947852E-4</v>
      </c>
      <c r="AA52" s="131">
        <f t="shared" si="161"/>
        <v>3.1700786992210311E-4</v>
      </c>
      <c r="AB52" s="130">
        <v>21</v>
      </c>
      <c r="AC52" s="132" t="s">
        <v>264</v>
      </c>
      <c r="AD52" s="131">
        <f t="shared" ref="AD52:AJ52" si="162">(AD24+AD27+AD13+AD41)/AD4</f>
        <v>2.9613600054285961E-4</v>
      </c>
      <c r="AE52" s="131">
        <f t="shared" si="162"/>
        <v>2.7601001794920748E-4</v>
      </c>
      <c r="AF52" s="131">
        <f t="shared" si="162"/>
        <v>2.5795834237481825E-4</v>
      </c>
      <c r="AG52" s="131">
        <f t="shared" si="162"/>
        <v>2.4055113807915527E-4</v>
      </c>
      <c r="AH52" s="131">
        <f t="shared" si="162"/>
        <v>2.2398684438516576E-4</v>
      </c>
      <c r="AI52" s="131">
        <f t="shared" si="162"/>
        <v>2.0926634150397486E-4</v>
      </c>
      <c r="AJ52" s="131">
        <f t="shared" si="162"/>
        <v>1.9629544770730271E-4</v>
      </c>
      <c r="AK52" s="130">
        <v>21</v>
      </c>
      <c r="AL52" s="132" t="s">
        <v>264</v>
      </c>
      <c r="AM52" s="131">
        <f t="shared" ref="AM52:AS52" si="163">SUM(AM23+AM13+AM41)/AM4</f>
        <v>1.6551160861304399E-4</v>
      </c>
      <c r="AN52" s="131">
        <f t="shared" si="163"/>
        <v>1.549772825954241E-4</v>
      </c>
      <c r="AO52" s="131">
        <f t="shared" si="163"/>
        <v>1.4611385025226322E-4</v>
      </c>
      <c r="AP52" s="131">
        <f t="shared" si="163"/>
        <v>1.4326726053582277E-4</v>
      </c>
      <c r="AQ52" s="131">
        <f t="shared" si="163"/>
        <v>1.4047577819984944E-4</v>
      </c>
      <c r="AR52" s="131">
        <f t="shared" si="163"/>
        <v>1.355345346512109E-4</v>
      </c>
      <c r="AS52" s="131">
        <f t="shared" si="163"/>
        <v>1.3181264185660311E-4</v>
      </c>
      <c r="AT52" s="130">
        <v>21</v>
      </c>
      <c r="AU52" s="132" t="s">
        <v>264</v>
      </c>
      <c r="AV52" s="131">
        <f t="shared" ref="AV52:AX52" si="164">SUM(AV23+AV13+AV41)/AV4</f>
        <v>1.0593722418581576E-4</v>
      </c>
      <c r="AW52" s="131">
        <f t="shared" si="164"/>
        <v>1.2360780605939384E-4</v>
      </c>
      <c r="AX52" s="131">
        <f t="shared" si="164"/>
        <v>1.2017947643749982E-4</v>
      </c>
    </row>
    <row r="53" spans="1:53" ht="24" customHeight="1">
      <c r="A53" s="134" t="s">
        <v>86</v>
      </c>
      <c r="B53" s="194" t="s">
        <v>24</v>
      </c>
      <c r="C53" s="195" t="s">
        <v>107</v>
      </c>
      <c r="D53" s="195" t="s">
        <v>107</v>
      </c>
      <c r="E53" s="195" t="str">
        <f>IF(E52&lt;=E$54,"Spełnia  art. 243","Nie spełnia art. 243")</f>
        <v>Spełnia  art. 243</v>
      </c>
      <c r="F53" s="195" t="str">
        <f>IF(F52&lt;=F$54,"Spełnia  art. 243","Nie spełnia art. 243")</f>
        <v>Spełnia  art. 243</v>
      </c>
      <c r="G53" s="195" t="str">
        <f>IF(G52&lt;=G$54,"Spełnia  art. 243","Nie spełnia art. 243")</f>
        <v>Spełnia  art. 243</v>
      </c>
      <c r="H53" s="195" t="str">
        <f t="shared" ref="H53:I53" si="165">IF(H52&lt;=H$54,"Spełnia  art. 243","Nie spełnia art. 243")</f>
        <v>Spełnia  art. 243</v>
      </c>
      <c r="I53" s="195" t="str">
        <f t="shared" si="165"/>
        <v>Spełnia  art. 243</v>
      </c>
      <c r="J53" s="134" t="s">
        <v>86</v>
      </c>
      <c r="K53" s="194" t="s">
        <v>24</v>
      </c>
      <c r="L53" s="195" t="str">
        <f t="shared" ref="L53:R53" si="166">IF(L52&lt;=L$54,"Spełnia  art. 243","Nie spełnia art. 243")</f>
        <v>Spełnia  art. 243</v>
      </c>
      <c r="M53" s="195" t="str">
        <f t="shared" si="166"/>
        <v>Spełnia  art. 243</v>
      </c>
      <c r="N53" s="195" t="str">
        <f t="shared" si="166"/>
        <v>Spełnia  art. 243</v>
      </c>
      <c r="O53" s="195" t="str">
        <f t="shared" si="166"/>
        <v>Spełnia  art. 243</v>
      </c>
      <c r="P53" s="195" t="str">
        <f t="shared" si="166"/>
        <v>Spełnia  art. 243</v>
      </c>
      <c r="Q53" s="195" t="str">
        <f t="shared" si="166"/>
        <v>Spełnia  art. 243</v>
      </c>
      <c r="R53" s="195" t="str">
        <f t="shared" si="166"/>
        <v>Spełnia  art. 243</v>
      </c>
      <c r="S53" s="134" t="s">
        <v>86</v>
      </c>
      <c r="T53" s="194" t="s">
        <v>24</v>
      </c>
      <c r="U53" s="195" t="str">
        <f t="shared" ref="U53:AA53" si="167">IF(U52&lt;=U$54,"Spełnia  art. 243","Nie spełnia art. 243")</f>
        <v>Spełnia  art. 243</v>
      </c>
      <c r="V53" s="195" t="str">
        <f t="shared" si="167"/>
        <v>Spełnia  art. 243</v>
      </c>
      <c r="W53" s="195" t="str">
        <f t="shared" si="167"/>
        <v>Spełnia  art. 243</v>
      </c>
      <c r="X53" s="195" t="str">
        <f t="shared" si="167"/>
        <v>Spełnia  art. 243</v>
      </c>
      <c r="Y53" s="195" t="str">
        <f t="shared" si="167"/>
        <v>Spełnia  art. 243</v>
      </c>
      <c r="Z53" s="195" t="str">
        <f t="shared" si="167"/>
        <v>Spełnia  art. 243</v>
      </c>
      <c r="AA53" s="195" t="str">
        <f t="shared" si="167"/>
        <v>Spełnia  art. 243</v>
      </c>
      <c r="AB53" s="134" t="s">
        <v>86</v>
      </c>
      <c r="AC53" s="194" t="s">
        <v>24</v>
      </c>
      <c r="AD53" s="195" t="str">
        <f t="shared" ref="AD53:AJ53" si="168">IF(AD52&lt;=AD$54,"Spełnia  art. 243","Nie spełnia art. 243")</f>
        <v>Spełnia  art. 243</v>
      </c>
      <c r="AE53" s="195" t="str">
        <f t="shared" si="168"/>
        <v>Spełnia  art. 243</v>
      </c>
      <c r="AF53" s="195" t="str">
        <f t="shared" si="168"/>
        <v>Spełnia  art. 243</v>
      </c>
      <c r="AG53" s="195" t="str">
        <f t="shared" si="168"/>
        <v>Spełnia  art. 243</v>
      </c>
      <c r="AH53" s="195" t="str">
        <f t="shared" si="168"/>
        <v>Spełnia  art. 243</v>
      </c>
      <c r="AI53" s="195" t="str">
        <f t="shared" si="168"/>
        <v>Spełnia  art. 243</v>
      </c>
      <c r="AJ53" s="195" t="str">
        <f t="shared" si="168"/>
        <v>Spełnia  art. 243</v>
      </c>
      <c r="AK53" s="134" t="s">
        <v>86</v>
      </c>
      <c r="AL53" s="194" t="s">
        <v>24</v>
      </c>
      <c r="AM53" s="195" t="str">
        <f t="shared" ref="AM53:AS53" si="169">IF(AM52&lt;=AM$54,"Spełnia  art. 243","Nie spełnia art. 243")</f>
        <v>Spełnia  art. 243</v>
      </c>
      <c r="AN53" s="195" t="str">
        <f t="shared" si="169"/>
        <v>Spełnia  art. 243</v>
      </c>
      <c r="AO53" s="195" t="str">
        <f t="shared" si="169"/>
        <v>Spełnia  art. 243</v>
      </c>
      <c r="AP53" s="195" t="str">
        <f t="shared" si="169"/>
        <v>Spełnia  art. 243</v>
      </c>
      <c r="AQ53" s="195" t="str">
        <f t="shared" si="169"/>
        <v>Spełnia  art. 243</v>
      </c>
      <c r="AR53" s="195" t="str">
        <f t="shared" si="169"/>
        <v>Spełnia  art. 243</v>
      </c>
      <c r="AS53" s="195" t="str">
        <f t="shared" si="169"/>
        <v>Spełnia  art. 243</v>
      </c>
      <c r="AT53" s="134" t="s">
        <v>86</v>
      </c>
      <c r="AU53" s="194" t="s">
        <v>24</v>
      </c>
      <c r="AV53" s="195" t="str">
        <f t="shared" ref="AV53:AX53" si="170">IF(AV52&lt;=AV$54,"Spełnia  art. 243","Nie spełnia art. 243")</f>
        <v>Spełnia  art. 243</v>
      </c>
      <c r="AW53" s="195" t="str">
        <f t="shared" si="170"/>
        <v>Spełnia  art. 243</v>
      </c>
      <c r="AX53" s="195" t="str">
        <f t="shared" si="170"/>
        <v>Spełnia  art. 243</v>
      </c>
    </row>
    <row r="54" spans="1:53" ht="38.25">
      <c r="A54" s="196">
        <v>22</v>
      </c>
      <c r="B54" s="197" t="s">
        <v>265</v>
      </c>
      <c r="C54" s="131">
        <f>SUM(C23+C13+C41-C25-C38)/C4</f>
        <v>0.10781518215452934</v>
      </c>
      <c r="D54" s="131">
        <f t="shared" ref="D54:E54" si="171">SUM(D23+D13+D41-D25-D38)/D4</f>
        <v>0.10390196462287565</v>
      </c>
      <c r="E54" s="131">
        <f t="shared" si="171"/>
        <v>6.2327015802360566E-2</v>
      </c>
      <c r="F54" s="131">
        <f>(F24+F27+F13+F41-F14-F25)/F4</f>
        <v>0.12470141823151167</v>
      </c>
      <c r="G54" s="131">
        <f t="shared" ref="G54:I54" si="172">(G24+G27+G13+G41-G14-G25)/G4</f>
        <v>9.6372311491319432E-2</v>
      </c>
      <c r="H54" s="131">
        <f t="shared" si="172"/>
        <v>0.11657122965641953</v>
      </c>
      <c r="I54" s="131">
        <f t="shared" si="172"/>
        <v>0.11591612910959771</v>
      </c>
      <c r="J54" s="196">
        <v>22</v>
      </c>
      <c r="K54" s="197" t="s">
        <v>265</v>
      </c>
      <c r="L54" s="131">
        <f t="shared" ref="L54:R54" si="173">(L24+L27+L13+L41-L14-L25)/L4</f>
        <v>9.5236726990477819E-2</v>
      </c>
      <c r="M54" s="131">
        <f t="shared" si="173"/>
        <v>6.7125500208736047E-2</v>
      </c>
      <c r="N54" s="131">
        <f t="shared" si="173"/>
        <v>2.5479673474973607E-2</v>
      </c>
      <c r="O54" s="131">
        <f t="shared" si="173"/>
        <v>1.7918172351380598E-2</v>
      </c>
      <c r="P54" s="131">
        <f t="shared" si="173"/>
        <v>9.6400839621356947E-3</v>
      </c>
      <c r="Q54" s="131">
        <f t="shared" si="173"/>
        <v>8.3960001895219093E-3</v>
      </c>
      <c r="R54" s="131">
        <f t="shared" si="173"/>
        <v>7.1600624649943694E-3</v>
      </c>
      <c r="S54" s="196">
        <v>22</v>
      </c>
      <c r="T54" s="197" t="s">
        <v>265</v>
      </c>
      <c r="U54" s="131">
        <f t="shared" ref="U54:AA54" si="174">(U24+U27+U13+U41-U14-U25)/U4</f>
        <v>5.9960724184739411E-3</v>
      </c>
      <c r="V54" s="131">
        <f t="shared" si="174"/>
        <v>4.885534126809388E-3</v>
      </c>
      <c r="W54" s="131">
        <f t="shared" si="174"/>
        <v>3.8293643923085277E-3</v>
      </c>
      <c r="X54" s="131">
        <f t="shared" si="174"/>
        <v>2.7941076305662313E-3</v>
      </c>
      <c r="Y54" s="131">
        <f t="shared" si="174"/>
        <v>1.820559269060739E-3</v>
      </c>
      <c r="Z54" s="131">
        <f t="shared" si="174"/>
        <v>8.8563913395947852E-4</v>
      </c>
      <c r="AA54" s="131">
        <f t="shared" si="174"/>
        <v>3.1700786992210311E-4</v>
      </c>
      <c r="AB54" s="196">
        <v>22</v>
      </c>
      <c r="AC54" s="197" t="s">
        <v>265</v>
      </c>
      <c r="AD54" s="131">
        <f t="shared" ref="AD54:AJ54" si="175">(AD24+AD27+AD13+AD41-AD14-AD25)/AD4</f>
        <v>2.9613600054285961E-4</v>
      </c>
      <c r="AE54" s="131">
        <f t="shared" si="175"/>
        <v>2.7601001794920748E-4</v>
      </c>
      <c r="AF54" s="131">
        <f t="shared" si="175"/>
        <v>2.5795834237481825E-4</v>
      </c>
      <c r="AG54" s="131">
        <f t="shared" si="175"/>
        <v>2.4055113807915527E-4</v>
      </c>
      <c r="AH54" s="131">
        <f t="shared" si="175"/>
        <v>2.2398684438516576E-4</v>
      </c>
      <c r="AI54" s="131">
        <f t="shared" si="175"/>
        <v>2.0926634150397486E-4</v>
      </c>
      <c r="AJ54" s="131">
        <f t="shared" si="175"/>
        <v>1.9629544770730271E-4</v>
      </c>
      <c r="AK54" s="196">
        <v>22</v>
      </c>
      <c r="AL54" s="197" t="s">
        <v>265</v>
      </c>
      <c r="AM54" s="131">
        <f t="shared" ref="AM54:AS54" si="176">(AM24+AM27+AM13+AM41-AM14-AM25)/AM4</f>
        <v>1.6551160861304399E-4</v>
      </c>
      <c r="AN54" s="131">
        <f t="shared" si="176"/>
        <v>1.549772825954241E-4</v>
      </c>
      <c r="AO54" s="131">
        <f t="shared" si="176"/>
        <v>1.4611385025226322E-4</v>
      </c>
      <c r="AP54" s="131">
        <f t="shared" si="176"/>
        <v>1.4326726053582277E-4</v>
      </c>
      <c r="AQ54" s="131">
        <f t="shared" si="176"/>
        <v>1.4047577819984944E-4</v>
      </c>
      <c r="AR54" s="131">
        <f t="shared" si="176"/>
        <v>1.355345346512109E-4</v>
      </c>
      <c r="AS54" s="131">
        <f t="shared" si="176"/>
        <v>1.3181264185660311E-4</v>
      </c>
      <c r="AT54" s="196">
        <v>22</v>
      </c>
      <c r="AU54" s="197" t="s">
        <v>265</v>
      </c>
      <c r="AV54" s="131">
        <f t="shared" ref="AV54:AX54" si="177">SUM(AV23+AV13+AV41-AV25-AV38)/AV4</f>
        <v>1.0593722418581576E-4</v>
      </c>
      <c r="AW54" s="131">
        <f t="shared" si="177"/>
        <v>1.2360780605939384E-4</v>
      </c>
      <c r="AX54" s="131">
        <f t="shared" si="177"/>
        <v>1.2017947643749982E-4</v>
      </c>
    </row>
    <row r="55" spans="1:53" ht="24" customHeight="1">
      <c r="A55" s="135" t="s">
        <v>87</v>
      </c>
      <c r="B55" s="198" t="s">
        <v>26</v>
      </c>
      <c r="C55" s="199" t="s">
        <v>107</v>
      </c>
      <c r="D55" s="199" t="s">
        <v>107</v>
      </c>
      <c r="E55" s="199" t="str">
        <f>IF(E54&lt;=E$54,"Spełnia  art. 243","Nie spełnia art. 243")</f>
        <v>Spełnia  art. 243</v>
      </c>
      <c r="F55" s="199" t="str">
        <f>IF(F54&lt;=F$54,"Spełnia  art. 243","Nie spełnia art. 243")</f>
        <v>Spełnia  art. 243</v>
      </c>
      <c r="G55" s="199" t="str">
        <f>IF(G54&lt;=G$54,"Spełnia  art. 243","Nie spełnia art. 243")</f>
        <v>Spełnia  art. 243</v>
      </c>
      <c r="H55" s="199" t="str">
        <f t="shared" ref="H55:I55" si="178">IF(H54&lt;=H$54,"Spełnia  art. 243","Nie spełnia art. 243")</f>
        <v>Spełnia  art. 243</v>
      </c>
      <c r="I55" s="199" t="str">
        <f t="shared" si="178"/>
        <v>Spełnia  art. 243</v>
      </c>
      <c r="J55" s="135" t="s">
        <v>87</v>
      </c>
      <c r="K55" s="198" t="s">
        <v>26</v>
      </c>
      <c r="L55" s="199" t="str">
        <f t="shared" ref="L55:R55" si="179">IF(L54&lt;=L$54,"Spełnia  art. 243","Nie spełnia art. 243")</f>
        <v>Spełnia  art. 243</v>
      </c>
      <c r="M55" s="199" t="str">
        <f t="shared" si="179"/>
        <v>Spełnia  art. 243</v>
      </c>
      <c r="N55" s="199" t="str">
        <f t="shared" si="179"/>
        <v>Spełnia  art. 243</v>
      </c>
      <c r="O55" s="199" t="str">
        <f t="shared" si="179"/>
        <v>Spełnia  art. 243</v>
      </c>
      <c r="P55" s="199" t="str">
        <f t="shared" si="179"/>
        <v>Spełnia  art. 243</v>
      </c>
      <c r="Q55" s="199" t="str">
        <f t="shared" si="179"/>
        <v>Spełnia  art. 243</v>
      </c>
      <c r="R55" s="199" t="str">
        <f t="shared" si="179"/>
        <v>Spełnia  art. 243</v>
      </c>
      <c r="S55" s="135" t="s">
        <v>87</v>
      </c>
      <c r="T55" s="198" t="s">
        <v>26</v>
      </c>
      <c r="U55" s="199" t="str">
        <f t="shared" ref="U55:AA55" si="180">IF(U54&lt;=U$54,"Spełnia  art. 243","Nie spełnia art. 243")</f>
        <v>Spełnia  art. 243</v>
      </c>
      <c r="V55" s="199" t="str">
        <f t="shared" si="180"/>
        <v>Spełnia  art. 243</v>
      </c>
      <c r="W55" s="199" t="str">
        <f t="shared" si="180"/>
        <v>Spełnia  art. 243</v>
      </c>
      <c r="X55" s="199" t="str">
        <f t="shared" si="180"/>
        <v>Spełnia  art. 243</v>
      </c>
      <c r="Y55" s="199" t="str">
        <f t="shared" si="180"/>
        <v>Spełnia  art. 243</v>
      </c>
      <c r="Z55" s="199" t="str">
        <f t="shared" si="180"/>
        <v>Spełnia  art. 243</v>
      </c>
      <c r="AA55" s="199" t="str">
        <f t="shared" si="180"/>
        <v>Spełnia  art. 243</v>
      </c>
      <c r="AB55" s="135" t="s">
        <v>87</v>
      </c>
      <c r="AC55" s="198" t="s">
        <v>26</v>
      </c>
      <c r="AD55" s="199" t="str">
        <f t="shared" ref="AD55:AJ55" si="181">IF(AD54&lt;=AD$54,"Spełnia  art. 243","Nie spełnia art. 243")</f>
        <v>Spełnia  art. 243</v>
      </c>
      <c r="AE55" s="199" t="str">
        <f t="shared" si="181"/>
        <v>Spełnia  art. 243</v>
      </c>
      <c r="AF55" s="199" t="str">
        <f t="shared" si="181"/>
        <v>Spełnia  art. 243</v>
      </c>
      <c r="AG55" s="199" t="str">
        <f t="shared" si="181"/>
        <v>Spełnia  art. 243</v>
      </c>
      <c r="AH55" s="199" t="str">
        <f t="shared" si="181"/>
        <v>Spełnia  art. 243</v>
      </c>
      <c r="AI55" s="199" t="str">
        <f t="shared" si="181"/>
        <v>Spełnia  art. 243</v>
      </c>
      <c r="AJ55" s="199" t="str">
        <f t="shared" si="181"/>
        <v>Spełnia  art. 243</v>
      </c>
      <c r="AK55" s="135" t="s">
        <v>87</v>
      </c>
      <c r="AL55" s="198" t="s">
        <v>26</v>
      </c>
      <c r="AM55" s="199" t="str">
        <f t="shared" ref="AM55:AS55" si="182">IF(AM54&lt;=AM$54,"Spełnia  art. 243","Nie spełnia art. 243")</f>
        <v>Spełnia  art. 243</v>
      </c>
      <c r="AN55" s="199" t="str">
        <f t="shared" si="182"/>
        <v>Spełnia  art. 243</v>
      </c>
      <c r="AO55" s="199" t="str">
        <f t="shared" si="182"/>
        <v>Spełnia  art. 243</v>
      </c>
      <c r="AP55" s="199" t="str">
        <f t="shared" si="182"/>
        <v>Spełnia  art. 243</v>
      </c>
      <c r="AQ55" s="199" t="str">
        <f t="shared" si="182"/>
        <v>Spełnia  art. 243</v>
      </c>
      <c r="AR55" s="199" t="str">
        <f t="shared" si="182"/>
        <v>Spełnia  art. 243</v>
      </c>
      <c r="AS55" s="199" t="str">
        <f t="shared" si="182"/>
        <v>Spełnia  art. 243</v>
      </c>
      <c r="AT55" s="135" t="s">
        <v>87</v>
      </c>
      <c r="AU55" s="198" t="s">
        <v>26</v>
      </c>
      <c r="AV55" s="199" t="str">
        <f t="shared" ref="AV55:AX55" si="183">IF(AV54&lt;=AV$54,"Spełnia  art. 243","Nie spełnia art. 243")</f>
        <v>Spełnia  art. 243</v>
      </c>
      <c r="AW55" s="199" t="str">
        <f t="shared" si="183"/>
        <v>Spełnia  art. 243</v>
      </c>
      <c r="AX55" s="199" t="str">
        <f t="shared" si="183"/>
        <v>Spełnia  art. 243</v>
      </c>
    </row>
    <row r="56" spans="1:53" ht="12" customHeight="1">
      <c r="A56" s="140">
        <v>23</v>
      </c>
      <c r="B56" s="141" t="s">
        <v>88</v>
      </c>
      <c r="C56" s="120">
        <f>SUM(C5)</f>
        <v>39058943.439999998</v>
      </c>
      <c r="D56" s="120">
        <f t="shared" ref="D56:I56" si="184">SUM(D5)</f>
        <v>40095561.079999998</v>
      </c>
      <c r="E56" s="120">
        <f t="shared" si="184"/>
        <v>43396443</v>
      </c>
      <c r="F56" s="120">
        <f t="shared" si="184"/>
        <v>43619757.509999998</v>
      </c>
      <c r="G56" s="120">
        <f t="shared" si="184"/>
        <v>45687012.5</v>
      </c>
      <c r="H56" s="120">
        <f t="shared" si="184"/>
        <v>48000000</v>
      </c>
      <c r="I56" s="120">
        <f t="shared" si="184"/>
        <v>49854110</v>
      </c>
      <c r="J56" s="140">
        <v>23</v>
      </c>
      <c r="K56" s="141" t="s">
        <v>88</v>
      </c>
      <c r="L56" s="120">
        <f t="shared" ref="L56:R56" si="185">SUM(L5)</f>
        <v>51234345</v>
      </c>
      <c r="M56" s="120">
        <f t="shared" si="185"/>
        <v>52653227</v>
      </c>
      <c r="N56" s="120">
        <f t="shared" si="185"/>
        <v>53955558</v>
      </c>
      <c r="O56" s="120">
        <f t="shared" si="185"/>
        <v>55237051</v>
      </c>
      <c r="P56" s="120">
        <f t="shared" si="185"/>
        <v>56549300</v>
      </c>
      <c r="Q56" s="120">
        <f t="shared" si="185"/>
        <v>57893043</v>
      </c>
      <c r="R56" s="120">
        <f t="shared" si="185"/>
        <v>59269036</v>
      </c>
      <c r="S56" s="140">
        <v>23</v>
      </c>
      <c r="T56" s="141" t="s">
        <v>88</v>
      </c>
      <c r="U56" s="120">
        <f t="shared" ref="U56:AA56" si="186">SUM(U5)</f>
        <v>60678053</v>
      </c>
      <c r="V56" s="120">
        <f t="shared" si="186"/>
        <v>62060768</v>
      </c>
      <c r="W56" s="120">
        <f t="shared" si="186"/>
        <v>63475286</v>
      </c>
      <c r="X56" s="120">
        <f t="shared" si="186"/>
        <v>64922338</v>
      </c>
      <c r="Y56" s="120">
        <f t="shared" si="186"/>
        <v>66402672</v>
      </c>
      <c r="Z56" s="120">
        <f t="shared" si="186"/>
        <v>67917053</v>
      </c>
      <c r="AA56" s="120">
        <f t="shared" si="186"/>
        <v>69398908</v>
      </c>
      <c r="AB56" s="140">
        <v>23</v>
      </c>
      <c r="AC56" s="141" t="s">
        <v>88</v>
      </c>
      <c r="AD56" s="120">
        <f t="shared" ref="AD56:AJ56" si="187">SUM(AD5)</f>
        <v>70913364</v>
      </c>
      <c r="AE56" s="120">
        <f t="shared" si="187"/>
        <v>72461138</v>
      </c>
      <c r="AF56" s="120">
        <f t="shared" si="187"/>
        <v>74042963</v>
      </c>
      <c r="AG56" s="120">
        <f t="shared" si="187"/>
        <v>75659588</v>
      </c>
      <c r="AH56" s="120">
        <f t="shared" si="187"/>
        <v>77236679</v>
      </c>
      <c r="AI56" s="120">
        <f t="shared" si="187"/>
        <v>78846889</v>
      </c>
      <c r="AJ56" s="120">
        <f t="shared" si="187"/>
        <v>80490914</v>
      </c>
      <c r="AK56" s="140">
        <v>23</v>
      </c>
      <c r="AL56" s="141" t="s">
        <v>88</v>
      </c>
      <c r="AM56" s="120">
        <f t="shared" ref="AM56:AS56" si="188">SUM(AM5)</f>
        <v>82169463</v>
      </c>
      <c r="AN56" s="120">
        <f t="shared" si="188"/>
        <v>83883262</v>
      </c>
      <c r="AO56" s="120">
        <f t="shared" si="188"/>
        <v>85549727</v>
      </c>
      <c r="AP56" s="120">
        <f t="shared" si="188"/>
        <v>87249522</v>
      </c>
      <c r="AQ56" s="120">
        <f t="shared" si="188"/>
        <v>88983312</v>
      </c>
      <c r="AR56" s="120">
        <f t="shared" si="188"/>
        <v>90751778</v>
      </c>
      <c r="AS56" s="120">
        <f t="shared" si="188"/>
        <v>92555614</v>
      </c>
      <c r="AT56" s="140">
        <v>23</v>
      </c>
      <c r="AU56" s="141" t="s">
        <v>88</v>
      </c>
      <c r="AV56" s="120">
        <f t="shared" ref="AV56:AX56" si="189">SUM(AV5)</f>
        <v>94395526</v>
      </c>
      <c r="AW56" s="120">
        <f t="shared" si="189"/>
        <v>96272237</v>
      </c>
      <c r="AX56" s="120">
        <f t="shared" si="189"/>
        <v>98186482</v>
      </c>
    </row>
    <row r="57" spans="1:53" ht="12" customHeight="1">
      <c r="A57" s="142">
        <v>24</v>
      </c>
      <c r="B57" s="143" t="s">
        <v>89</v>
      </c>
      <c r="C57" s="144">
        <f>SUM(C10,C26)</f>
        <v>31364672.830000002</v>
      </c>
      <c r="D57" s="144">
        <f t="shared" ref="D57:I57" si="190">SUM(D10,D26)</f>
        <v>34196315.979999997</v>
      </c>
      <c r="E57" s="144">
        <f t="shared" si="190"/>
        <v>37674480</v>
      </c>
      <c r="F57" s="144">
        <f t="shared" si="190"/>
        <v>37114595.439999998</v>
      </c>
      <c r="G57" s="144">
        <f t="shared" si="190"/>
        <v>39956631.5</v>
      </c>
      <c r="H57" s="144">
        <f t="shared" si="190"/>
        <v>39205261</v>
      </c>
      <c r="I57" s="144">
        <f t="shared" si="190"/>
        <v>40971849</v>
      </c>
      <c r="J57" s="142">
        <v>24</v>
      </c>
      <c r="K57" s="143" t="s">
        <v>89</v>
      </c>
      <c r="L57" s="144">
        <f t="shared" ref="L57:R57" si="191">SUM(L10,L26)</f>
        <v>41879625</v>
      </c>
      <c r="M57" s="144">
        <f t="shared" si="191"/>
        <v>42856981</v>
      </c>
      <c r="N57" s="144">
        <f t="shared" si="191"/>
        <v>43691423</v>
      </c>
      <c r="O57" s="144">
        <f t="shared" si="191"/>
        <v>44615560</v>
      </c>
      <c r="P57" s="144">
        <f t="shared" si="191"/>
        <v>45586058</v>
      </c>
      <c r="Q57" s="144">
        <f t="shared" si="191"/>
        <v>46591532</v>
      </c>
      <c r="R57" s="144">
        <f t="shared" si="191"/>
        <v>47620008</v>
      </c>
      <c r="S57" s="142">
        <v>24</v>
      </c>
      <c r="T57" s="143" t="s">
        <v>89</v>
      </c>
      <c r="U57" s="144">
        <f t="shared" ref="U57:AA57" si="192">SUM(U10,U26)</f>
        <v>48675889</v>
      </c>
      <c r="V57" s="144">
        <f t="shared" si="192"/>
        <v>49710957</v>
      </c>
      <c r="W57" s="144">
        <f t="shared" si="192"/>
        <v>50771803</v>
      </c>
      <c r="X57" s="144">
        <f t="shared" si="192"/>
        <v>51856866</v>
      </c>
      <c r="Y57" s="144">
        <f t="shared" si="192"/>
        <v>52969539</v>
      </c>
      <c r="Z57" s="144">
        <f t="shared" si="192"/>
        <v>54108837</v>
      </c>
      <c r="AA57" s="144">
        <f t="shared" si="192"/>
        <v>55244974</v>
      </c>
      <c r="AB57" s="142">
        <v>24</v>
      </c>
      <c r="AC57" s="143" t="s">
        <v>89</v>
      </c>
      <c r="AD57" s="144">
        <f t="shared" ref="AD57:AJ57" si="193">SUM(AD10,AD26)</f>
        <v>56443971</v>
      </c>
      <c r="AE57" s="144">
        <f t="shared" si="193"/>
        <v>57669346</v>
      </c>
      <c r="AF57" s="144">
        <f t="shared" si="193"/>
        <v>58921679</v>
      </c>
      <c r="AG57" s="144">
        <f t="shared" si="193"/>
        <v>60201563</v>
      </c>
      <c r="AH57" s="144">
        <f t="shared" si="193"/>
        <v>61450149</v>
      </c>
      <c r="AI57" s="144">
        <f t="shared" si="193"/>
        <v>62724955</v>
      </c>
      <c r="AJ57" s="144">
        <f t="shared" si="193"/>
        <v>64026532</v>
      </c>
      <c r="AK57" s="142">
        <v>24</v>
      </c>
      <c r="AL57" s="143" t="s">
        <v>89</v>
      </c>
      <c r="AM57" s="144">
        <f t="shared" ref="AM57:AS57" si="194">SUM(AM10,AM26)</f>
        <v>65355442</v>
      </c>
      <c r="AN57" s="144">
        <f t="shared" si="194"/>
        <v>66712259</v>
      </c>
      <c r="AO57" s="144">
        <f t="shared" si="194"/>
        <v>72111602</v>
      </c>
      <c r="AP57" s="144">
        <f t="shared" si="194"/>
        <v>73538932</v>
      </c>
      <c r="AQ57" s="144">
        <f t="shared" si="194"/>
        <v>74994809</v>
      </c>
      <c r="AR57" s="144">
        <f t="shared" si="194"/>
        <v>76479803</v>
      </c>
      <c r="AS57" s="144">
        <f t="shared" si="194"/>
        <v>77994497</v>
      </c>
      <c r="AT57" s="142">
        <v>24</v>
      </c>
      <c r="AU57" s="143" t="s">
        <v>89</v>
      </c>
      <c r="AV57" s="144">
        <f t="shared" ref="AV57:AX57" si="195">SUM(AV10,AV26)</f>
        <v>79539485</v>
      </c>
      <c r="AW57" s="144">
        <f t="shared" si="195"/>
        <v>81115373</v>
      </c>
      <c r="AX57" s="144">
        <f t="shared" si="195"/>
        <v>82722778</v>
      </c>
    </row>
    <row r="58" spans="1:53" ht="12" customHeight="1">
      <c r="A58" s="135">
        <v>25</v>
      </c>
      <c r="B58" s="136" t="s">
        <v>11</v>
      </c>
      <c r="C58" s="138">
        <f>SUM(C56-C57)</f>
        <v>7694270.6099999957</v>
      </c>
      <c r="D58" s="138">
        <f t="shared" ref="D58:I58" si="196">SUM(D56-D57)</f>
        <v>5899245.1000000015</v>
      </c>
      <c r="E58" s="138">
        <f t="shared" si="196"/>
        <v>5721963</v>
      </c>
      <c r="F58" s="138">
        <f t="shared" si="196"/>
        <v>6505162.0700000003</v>
      </c>
      <c r="G58" s="138">
        <f t="shared" si="196"/>
        <v>5730381</v>
      </c>
      <c r="H58" s="138">
        <f t="shared" si="196"/>
        <v>8794739</v>
      </c>
      <c r="I58" s="138">
        <f t="shared" si="196"/>
        <v>8882261</v>
      </c>
      <c r="J58" s="135">
        <v>25</v>
      </c>
      <c r="K58" s="136" t="s">
        <v>11</v>
      </c>
      <c r="L58" s="138">
        <f t="shared" ref="L58:R58" si="197">SUM(L56-L57)</f>
        <v>9354720</v>
      </c>
      <c r="M58" s="138">
        <f t="shared" si="197"/>
        <v>9796246</v>
      </c>
      <c r="N58" s="138">
        <f t="shared" si="197"/>
        <v>10264135</v>
      </c>
      <c r="O58" s="138">
        <f t="shared" si="197"/>
        <v>10621491</v>
      </c>
      <c r="P58" s="138">
        <f t="shared" si="197"/>
        <v>10963242</v>
      </c>
      <c r="Q58" s="138">
        <f t="shared" si="197"/>
        <v>11301511</v>
      </c>
      <c r="R58" s="138">
        <f t="shared" si="197"/>
        <v>11649028</v>
      </c>
      <c r="S58" s="135">
        <v>25</v>
      </c>
      <c r="T58" s="136" t="s">
        <v>11</v>
      </c>
      <c r="U58" s="138">
        <f t="shared" ref="U58:AA58" si="198">SUM(U56-U57)</f>
        <v>12002164</v>
      </c>
      <c r="V58" s="138">
        <f t="shared" si="198"/>
        <v>12349811</v>
      </c>
      <c r="W58" s="138">
        <f t="shared" si="198"/>
        <v>12703483</v>
      </c>
      <c r="X58" s="138">
        <f t="shared" si="198"/>
        <v>13065472</v>
      </c>
      <c r="Y58" s="138">
        <f t="shared" si="198"/>
        <v>13433133</v>
      </c>
      <c r="Z58" s="138">
        <f t="shared" si="198"/>
        <v>13808216</v>
      </c>
      <c r="AA58" s="138">
        <f t="shared" si="198"/>
        <v>14153934</v>
      </c>
      <c r="AB58" s="135">
        <v>25</v>
      </c>
      <c r="AC58" s="136" t="s">
        <v>11</v>
      </c>
      <c r="AD58" s="138">
        <f t="shared" ref="AD58:AJ58" si="199">SUM(AD56-AD57)</f>
        <v>14469393</v>
      </c>
      <c r="AE58" s="138">
        <f t="shared" si="199"/>
        <v>14791792</v>
      </c>
      <c r="AF58" s="138">
        <f t="shared" si="199"/>
        <v>15121284</v>
      </c>
      <c r="AG58" s="138">
        <f t="shared" si="199"/>
        <v>15458025</v>
      </c>
      <c r="AH58" s="138">
        <f t="shared" si="199"/>
        <v>15786530</v>
      </c>
      <c r="AI58" s="138">
        <f t="shared" si="199"/>
        <v>16121934</v>
      </c>
      <c r="AJ58" s="138">
        <f t="shared" si="199"/>
        <v>16464382</v>
      </c>
      <c r="AK58" s="135">
        <v>25</v>
      </c>
      <c r="AL58" s="136" t="s">
        <v>11</v>
      </c>
      <c r="AM58" s="138">
        <f t="shared" ref="AM58:AS58" si="200">SUM(AM56-AM57)</f>
        <v>16814021</v>
      </c>
      <c r="AN58" s="138">
        <f t="shared" si="200"/>
        <v>17171003</v>
      </c>
      <c r="AO58" s="138">
        <f t="shared" si="200"/>
        <v>13438125</v>
      </c>
      <c r="AP58" s="138">
        <f t="shared" si="200"/>
        <v>13710590</v>
      </c>
      <c r="AQ58" s="138">
        <f t="shared" si="200"/>
        <v>13988503</v>
      </c>
      <c r="AR58" s="138">
        <f t="shared" si="200"/>
        <v>14271975</v>
      </c>
      <c r="AS58" s="138">
        <f t="shared" si="200"/>
        <v>14561117</v>
      </c>
      <c r="AT58" s="135">
        <v>25</v>
      </c>
      <c r="AU58" s="136" t="s">
        <v>11</v>
      </c>
      <c r="AV58" s="138">
        <f t="shared" ref="AV58:AX58" si="201">SUM(AV56-AV57)</f>
        <v>14856041</v>
      </c>
      <c r="AW58" s="138">
        <f t="shared" si="201"/>
        <v>15156864</v>
      </c>
      <c r="AX58" s="138">
        <f t="shared" si="201"/>
        <v>15463704</v>
      </c>
    </row>
    <row r="59" spans="1:53" ht="12" customHeight="1">
      <c r="A59" s="140"/>
      <c r="B59" s="141" t="s">
        <v>102</v>
      </c>
      <c r="C59" s="120">
        <f>SUM(C7)</f>
        <v>2159505.6800000002</v>
      </c>
      <c r="D59" s="120">
        <f t="shared" ref="D59:I59" si="202">SUM(D7)</f>
        <v>2629027.9700000002</v>
      </c>
      <c r="E59" s="120">
        <f t="shared" si="202"/>
        <v>50238555</v>
      </c>
      <c r="F59" s="120">
        <f t="shared" si="202"/>
        <v>624010.51</v>
      </c>
      <c r="G59" s="120">
        <f t="shared" si="202"/>
        <v>23296515</v>
      </c>
      <c r="H59" s="120">
        <f t="shared" si="202"/>
        <v>7300000</v>
      </c>
      <c r="I59" s="120">
        <f t="shared" si="202"/>
        <v>2700000</v>
      </c>
      <c r="J59" s="140"/>
      <c r="K59" s="141" t="s">
        <v>102</v>
      </c>
      <c r="L59" s="120">
        <f t="shared" ref="L59:R59" si="203">SUM(L7)</f>
        <v>100000</v>
      </c>
      <c r="M59" s="120">
        <f t="shared" si="203"/>
        <v>100000</v>
      </c>
      <c r="N59" s="120">
        <f t="shared" si="203"/>
        <v>0</v>
      </c>
      <c r="O59" s="120">
        <f t="shared" si="203"/>
        <v>0</v>
      </c>
      <c r="P59" s="120">
        <f t="shared" si="203"/>
        <v>0</v>
      </c>
      <c r="Q59" s="120">
        <f t="shared" si="203"/>
        <v>0</v>
      </c>
      <c r="R59" s="120">
        <f t="shared" si="203"/>
        <v>0</v>
      </c>
      <c r="S59" s="140"/>
      <c r="T59" s="141" t="s">
        <v>102</v>
      </c>
      <c r="U59" s="120">
        <f t="shared" ref="U59:AA59" si="204">SUM(U7)</f>
        <v>0</v>
      </c>
      <c r="V59" s="120">
        <f t="shared" si="204"/>
        <v>0</v>
      </c>
      <c r="W59" s="120">
        <f t="shared" si="204"/>
        <v>0</v>
      </c>
      <c r="X59" s="120">
        <f t="shared" si="204"/>
        <v>0</v>
      </c>
      <c r="Y59" s="120">
        <f t="shared" si="204"/>
        <v>0</v>
      </c>
      <c r="Z59" s="120">
        <f t="shared" si="204"/>
        <v>0</v>
      </c>
      <c r="AA59" s="120">
        <f t="shared" si="204"/>
        <v>0</v>
      </c>
      <c r="AB59" s="140"/>
      <c r="AC59" s="141" t="s">
        <v>102</v>
      </c>
      <c r="AD59" s="120">
        <f t="shared" ref="AD59:AJ59" si="205">SUM(AD7)</f>
        <v>0</v>
      </c>
      <c r="AE59" s="120">
        <f t="shared" si="205"/>
        <v>0</v>
      </c>
      <c r="AF59" s="120">
        <f t="shared" si="205"/>
        <v>0</v>
      </c>
      <c r="AG59" s="120">
        <f t="shared" si="205"/>
        <v>0</v>
      </c>
      <c r="AH59" s="120">
        <f t="shared" si="205"/>
        <v>0</v>
      </c>
      <c r="AI59" s="120">
        <f t="shared" si="205"/>
        <v>0</v>
      </c>
      <c r="AJ59" s="120">
        <f t="shared" si="205"/>
        <v>0</v>
      </c>
      <c r="AK59" s="140"/>
      <c r="AL59" s="141" t="s">
        <v>102</v>
      </c>
      <c r="AM59" s="120">
        <f t="shared" ref="AM59:AS59" si="206">SUM(AM7)</f>
        <v>0</v>
      </c>
      <c r="AN59" s="120">
        <f t="shared" si="206"/>
        <v>0</v>
      </c>
      <c r="AO59" s="120">
        <f t="shared" si="206"/>
        <v>0</v>
      </c>
      <c r="AP59" s="120">
        <f t="shared" si="206"/>
        <v>0</v>
      </c>
      <c r="AQ59" s="120">
        <f t="shared" si="206"/>
        <v>0</v>
      </c>
      <c r="AR59" s="120">
        <f t="shared" si="206"/>
        <v>0</v>
      </c>
      <c r="AS59" s="120">
        <f t="shared" si="206"/>
        <v>0</v>
      </c>
      <c r="AT59" s="140"/>
      <c r="AU59" s="141" t="s">
        <v>102</v>
      </c>
      <c r="AV59" s="120">
        <f t="shared" ref="AV59:AX59" si="207">SUM(AV7)</f>
        <v>0</v>
      </c>
      <c r="AW59" s="120">
        <f t="shared" si="207"/>
        <v>0</v>
      </c>
      <c r="AX59" s="120">
        <f t="shared" si="207"/>
        <v>0</v>
      </c>
    </row>
    <row r="60" spans="1:53" ht="12" customHeight="1">
      <c r="A60" s="142"/>
      <c r="B60" s="143" t="s">
        <v>103</v>
      </c>
      <c r="C60" s="144">
        <f>SUM(C30)</f>
        <v>18280903.09</v>
      </c>
      <c r="D60" s="144">
        <f t="shared" ref="D60:I60" si="208">SUM(D30)</f>
        <v>11153742.220000001</v>
      </c>
      <c r="E60" s="144">
        <f t="shared" si="208"/>
        <v>56890518</v>
      </c>
      <c r="F60" s="144">
        <f t="shared" si="208"/>
        <v>8069753.3700000001</v>
      </c>
      <c r="G60" s="144">
        <f t="shared" si="208"/>
        <v>24430496</v>
      </c>
      <c r="H60" s="144">
        <f t="shared" si="208"/>
        <v>10833810</v>
      </c>
      <c r="I60" s="144">
        <f t="shared" si="208"/>
        <v>6912932</v>
      </c>
      <c r="J60" s="142"/>
      <c r="K60" s="143" t="s">
        <v>103</v>
      </c>
      <c r="L60" s="144">
        <f t="shared" ref="L60:R60" si="209">SUM(L30)</f>
        <v>5691971</v>
      </c>
      <c r="M60" s="144">
        <f t="shared" si="209"/>
        <v>7257249.25</v>
      </c>
      <c r="N60" s="144">
        <f t="shared" si="209"/>
        <v>9594440</v>
      </c>
      <c r="O60" s="144">
        <f t="shared" si="209"/>
        <v>10245896</v>
      </c>
      <c r="P60" s="144">
        <f t="shared" si="209"/>
        <v>10963242</v>
      </c>
      <c r="Q60" s="144">
        <f t="shared" si="209"/>
        <v>11301511</v>
      </c>
      <c r="R60" s="144">
        <f t="shared" si="209"/>
        <v>11649028</v>
      </c>
      <c r="S60" s="142"/>
      <c r="T60" s="143" t="s">
        <v>103</v>
      </c>
      <c r="U60" s="144">
        <f t="shared" ref="U60:AA60" si="210">SUM(U30)</f>
        <v>12002164</v>
      </c>
      <c r="V60" s="144">
        <f t="shared" si="210"/>
        <v>12349811</v>
      </c>
      <c r="W60" s="144">
        <f t="shared" si="210"/>
        <v>12703483</v>
      </c>
      <c r="X60" s="144">
        <f t="shared" si="210"/>
        <v>13065472</v>
      </c>
      <c r="Y60" s="144">
        <f t="shared" si="210"/>
        <v>13433133</v>
      </c>
      <c r="Z60" s="144">
        <f t="shared" si="210"/>
        <v>13808216</v>
      </c>
      <c r="AA60" s="144">
        <f t="shared" si="210"/>
        <v>14153934</v>
      </c>
      <c r="AB60" s="142"/>
      <c r="AC60" s="143" t="s">
        <v>103</v>
      </c>
      <c r="AD60" s="144">
        <f t="shared" ref="AD60:AJ60" si="211">SUM(AD30)</f>
        <v>14469393</v>
      </c>
      <c r="AE60" s="144">
        <f t="shared" si="211"/>
        <v>14791792</v>
      </c>
      <c r="AF60" s="144">
        <f t="shared" si="211"/>
        <v>15121284</v>
      </c>
      <c r="AG60" s="144">
        <f t="shared" si="211"/>
        <v>15458025</v>
      </c>
      <c r="AH60" s="144">
        <f t="shared" si="211"/>
        <v>15786530</v>
      </c>
      <c r="AI60" s="144">
        <f t="shared" si="211"/>
        <v>16121934</v>
      </c>
      <c r="AJ60" s="144">
        <f t="shared" si="211"/>
        <v>16464382</v>
      </c>
      <c r="AK60" s="142"/>
      <c r="AL60" s="143" t="s">
        <v>103</v>
      </c>
      <c r="AM60" s="144">
        <f t="shared" ref="AM60:AS60" si="212">SUM(AM30)</f>
        <v>16814021</v>
      </c>
      <c r="AN60" s="144">
        <f t="shared" si="212"/>
        <v>17171003</v>
      </c>
      <c r="AO60" s="144">
        <f t="shared" si="212"/>
        <v>13438125</v>
      </c>
      <c r="AP60" s="144">
        <f t="shared" si="212"/>
        <v>13710590</v>
      </c>
      <c r="AQ60" s="144">
        <f t="shared" si="212"/>
        <v>13988503</v>
      </c>
      <c r="AR60" s="144">
        <f t="shared" si="212"/>
        <v>14271975</v>
      </c>
      <c r="AS60" s="144">
        <f t="shared" si="212"/>
        <v>14561117</v>
      </c>
      <c r="AT60" s="142"/>
      <c r="AU60" s="143" t="s">
        <v>103</v>
      </c>
      <c r="AV60" s="144">
        <f t="shared" ref="AV60:AX60" si="213">SUM(AV30)</f>
        <v>14856041</v>
      </c>
      <c r="AW60" s="144">
        <f t="shared" si="213"/>
        <v>15156864</v>
      </c>
      <c r="AX60" s="144">
        <f t="shared" si="213"/>
        <v>15463704</v>
      </c>
    </row>
    <row r="61" spans="1:53" ht="12" customHeight="1">
      <c r="A61" s="135"/>
      <c r="B61" s="136" t="s">
        <v>101</v>
      </c>
      <c r="C61" s="137">
        <f>+C59-C60</f>
        <v>-16121397.41</v>
      </c>
      <c r="D61" s="138">
        <f t="shared" ref="D61:I61" si="214">+D59-D60</f>
        <v>-8524714.25</v>
      </c>
      <c r="E61" s="138">
        <f t="shared" si="214"/>
        <v>-6651963</v>
      </c>
      <c r="F61" s="138">
        <f t="shared" si="214"/>
        <v>-7445742.8600000003</v>
      </c>
      <c r="G61" s="138">
        <f t="shared" si="214"/>
        <v>-1133981</v>
      </c>
      <c r="H61" s="138">
        <f t="shared" si="214"/>
        <v>-3533810</v>
      </c>
      <c r="I61" s="138">
        <f t="shared" si="214"/>
        <v>-4212932</v>
      </c>
      <c r="J61" s="135"/>
      <c r="K61" s="136" t="s">
        <v>101</v>
      </c>
      <c r="L61" s="138">
        <f t="shared" ref="L61:R61" si="215">+L59-L60</f>
        <v>-5591971</v>
      </c>
      <c r="M61" s="138">
        <f t="shared" si="215"/>
        <v>-7157249.25</v>
      </c>
      <c r="N61" s="138">
        <f t="shared" si="215"/>
        <v>-9594440</v>
      </c>
      <c r="O61" s="138">
        <f t="shared" si="215"/>
        <v>-10245896</v>
      </c>
      <c r="P61" s="138">
        <f t="shared" si="215"/>
        <v>-10963242</v>
      </c>
      <c r="Q61" s="138">
        <f t="shared" si="215"/>
        <v>-11301511</v>
      </c>
      <c r="R61" s="138">
        <f t="shared" si="215"/>
        <v>-11649028</v>
      </c>
      <c r="S61" s="135"/>
      <c r="T61" s="136" t="s">
        <v>101</v>
      </c>
      <c r="U61" s="138">
        <f t="shared" ref="U61:AA61" si="216">+U59-U60</f>
        <v>-12002164</v>
      </c>
      <c r="V61" s="138">
        <f t="shared" si="216"/>
        <v>-12349811</v>
      </c>
      <c r="W61" s="138">
        <f t="shared" si="216"/>
        <v>-12703483</v>
      </c>
      <c r="X61" s="138">
        <f t="shared" si="216"/>
        <v>-13065472</v>
      </c>
      <c r="Y61" s="138">
        <f t="shared" si="216"/>
        <v>-13433133</v>
      </c>
      <c r="Z61" s="138">
        <f t="shared" si="216"/>
        <v>-13808216</v>
      </c>
      <c r="AA61" s="138">
        <f t="shared" si="216"/>
        <v>-14153934</v>
      </c>
      <c r="AB61" s="135"/>
      <c r="AC61" s="136" t="s">
        <v>101</v>
      </c>
      <c r="AD61" s="138">
        <f t="shared" ref="AD61:AJ61" si="217">+AD59-AD60</f>
        <v>-14469393</v>
      </c>
      <c r="AE61" s="138">
        <f t="shared" si="217"/>
        <v>-14791792</v>
      </c>
      <c r="AF61" s="138">
        <f t="shared" si="217"/>
        <v>-15121284</v>
      </c>
      <c r="AG61" s="138">
        <f t="shared" si="217"/>
        <v>-15458025</v>
      </c>
      <c r="AH61" s="138">
        <f t="shared" si="217"/>
        <v>-15786530</v>
      </c>
      <c r="AI61" s="138">
        <f t="shared" si="217"/>
        <v>-16121934</v>
      </c>
      <c r="AJ61" s="138">
        <f t="shared" si="217"/>
        <v>-16464382</v>
      </c>
      <c r="AK61" s="135"/>
      <c r="AL61" s="136" t="s">
        <v>101</v>
      </c>
      <c r="AM61" s="138">
        <f t="shared" ref="AM61:AS61" si="218">+AM59-AM60</f>
        <v>-16814021</v>
      </c>
      <c r="AN61" s="138">
        <f t="shared" si="218"/>
        <v>-17171003</v>
      </c>
      <c r="AO61" s="138">
        <f t="shared" si="218"/>
        <v>-13438125</v>
      </c>
      <c r="AP61" s="138">
        <f t="shared" si="218"/>
        <v>-13710590</v>
      </c>
      <c r="AQ61" s="138">
        <f t="shared" si="218"/>
        <v>-13988503</v>
      </c>
      <c r="AR61" s="138">
        <f t="shared" si="218"/>
        <v>-14271975</v>
      </c>
      <c r="AS61" s="138">
        <f t="shared" si="218"/>
        <v>-14561117</v>
      </c>
      <c r="AT61" s="135"/>
      <c r="AU61" s="136" t="s">
        <v>101</v>
      </c>
      <c r="AV61" s="138">
        <f t="shared" ref="AV61:AX61" si="219">+AV59-AV60</f>
        <v>-14856041</v>
      </c>
      <c r="AW61" s="138">
        <f t="shared" si="219"/>
        <v>-15156864</v>
      </c>
      <c r="AX61" s="138">
        <f t="shared" si="219"/>
        <v>-15463704</v>
      </c>
    </row>
    <row r="62" spans="1:53" ht="12" customHeight="1">
      <c r="A62" s="140">
        <v>26</v>
      </c>
      <c r="B62" s="141" t="s">
        <v>90</v>
      </c>
      <c r="C62" s="120">
        <f>SUM(C4)</f>
        <v>41218449.119999997</v>
      </c>
      <c r="D62" s="120">
        <f t="shared" ref="D62:I62" si="220">SUM(D4)</f>
        <v>42724589.049999997</v>
      </c>
      <c r="E62" s="120">
        <f t="shared" si="220"/>
        <v>93634998</v>
      </c>
      <c r="F62" s="120">
        <f t="shared" si="220"/>
        <v>44243768.019999996</v>
      </c>
      <c r="G62" s="120">
        <f t="shared" si="220"/>
        <v>68983527.5</v>
      </c>
      <c r="H62" s="120">
        <f t="shared" si="220"/>
        <v>55300000</v>
      </c>
      <c r="I62" s="120">
        <f t="shared" si="220"/>
        <v>52554110</v>
      </c>
      <c r="J62" s="140">
        <v>26</v>
      </c>
      <c r="K62" s="141" t="s">
        <v>90</v>
      </c>
      <c r="L62" s="120">
        <f t="shared" ref="L62:R62" si="221">SUM(L4)</f>
        <v>51334345</v>
      </c>
      <c r="M62" s="120">
        <f t="shared" si="221"/>
        <v>52753227</v>
      </c>
      <c r="N62" s="120">
        <f t="shared" si="221"/>
        <v>53955558</v>
      </c>
      <c r="O62" s="120">
        <f t="shared" si="221"/>
        <v>55237051</v>
      </c>
      <c r="P62" s="120">
        <f t="shared" si="221"/>
        <v>56549300</v>
      </c>
      <c r="Q62" s="120">
        <f t="shared" si="221"/>
        <v>57893043</v>
      </c>
      <c r="R62" s="120">
        <f t="shared" si="221"/>
        <v>59269036</v>
      </c>
      <c r="S62" s="140">
        <v>26</v>
      </c>
      <c r="T62" s="141" t="s">
        <v>90</v>
      </c>
      <c r="U62" s="120">
        <f t="shared" ref="U62:AA62" si="222">SUM(U4)</f>
        <v>60678053</v>
      </c>
      <c r="V62" s="120">
        <f t="shared" si="222"/>
        <v>62060768</v>
      </c>
      <c r="W62" s="120">
        <f t="shared" si="222"/>
        <v>63475286</v>
      </c>
      <c r="X62" s="120">
        <f t="shared" si="222"/>
        <v>64922338</v>
      </c>
      <c r="Y62" s="120">
        <f t="shared" si="222"/>
        <v>66402672</v>
      </c>
      <c r="Z62" s="120">
        <f t="shared" si="222"/>
        <v>67917053</v>
      </c>
      <c r="AA62" s="120">
        <f t="shared" si="222"/>
        <v>69398908</v>
      </c>
      <c r="AB62" s="140">
        <v>26</v>
      </c>
      <c r="AC62" s="141" t="s">
        <v>90</v>
      </c>
      <c r="AD62" s="120">
        <f t="shared" ref="AD62:AJ62" si="223">SUM(AD4)</f>
        <v>70913364</v>
      </c>
      <c r="AE62" s="120">
        <f t="shared" si="223"/>
        <v>72461138</v>
      </c>
      <c r="AF62" s="120">
        <f t="shared" si="223"/>
        <v>74042963</v>
      </c>
      <c r="AG62" s="120">
        <f t="shared" si="223"/>
        <v>75659588</v>
      </c>
      <c r="AH62" s="120">
        <f t="shared" si="223"/>
        <v>77236679</v>
      </c>
      <c r="AI62" s="120">
        <f t="shared" si="223"/>
        <v>78846889</v>
      </c>
      <c r="AJ62" s="120">
        <f t="shared" si="223"/>
        <v>80490914</v>
      </c>
      <c r="AK62" s="140">
        <v>26</v>
      </c>
      <c r="AL62" s="141" t="s">
        <v>90</v>
      </c>
      <c r="AM62" s="120">
        <f t="shared" ref="AM62:AS62" si="224">SUM(AM4)</f>
        <v>82169463</v>
      </c>
      <c r="AN62" s="120">
        <f t="shared" si="224"/>
        <v>83883262</v>
      </c>
      <c r="AO62" s="120">
        <f t="shared" si="224"/>
        <v>85549727</v>
      </c>
      <c r="AP62" s="120">
        <f t="shared" si="224"/>
        <v>87249522</v>
      </c>
      <c r="AQ62" s="120">
        <f t="shared" si="224"/>
        <v>88983312</v>
      </c>
      <c r="AR62" s="120">
        <f t="shared" si="224"/>
        <v>90751778</v>
      </c>
      <c r="AS62" s="120">
        <f t="shared" si="224"/>
        <v>92555614</v>
      </c>
      <c r="AT62" s="140">
        <v>26</v>
      </c>
      <c r="AU62" s="141" t="s">
        <v>90</v>
      </c>
      <c r="AV62" s="120">
        <f t="shared" ref="AV62:AX62" si="225">SUM(AV4)</f>
        <v>94395526</v>
      </c>
      <c r="AW62" s="120">
        <f t="shared" si="225"/>
        <v>96272237</v>
      </c>
      <c r="AX62" s="120">
        <f t="shared" si="225"/>
        <v>98186482</v>
      </c>
    </row>
    <row r="63" spans="1:53" ht="13.5" customHeight="1">
      <c r="A63" s="142">
        <v>27</v>
      </c>
      <c r="B63" s="143" t="s">
        <v>9</v>
      </c>
      <c r="C63" s="144">
        <f>SUM(C57,C60)</f>
        <v>49645575.920000002</v>
      </c>
      <c r="D63" s="144">
        <f t="shared" ref="D63:I63" si="226">SUM(D57,D60)</f>
        <v>45350058.199999996</v>
      </c>
      <c r="E63" s="144">
        <f t="shared" si="226"/>
        <v>94564998</v>
      </c>
      <c r="F63" s="144">
        <f t="shared" si="226"/>
        <v>45184348.809999995</v>
      </c>
      <c r="G63" s="144">
        <f t="shared" si="226"/>
        <v>64387127.5</v>
      </c>
      <c r="H63" s="144">
        <f t="shared" si="226"/>
        <v>50039071</v>
      </c>
      <c r="I63" s="144">
        <f t="shared" si="226"/>
        <v>47884781</v>
      </c>
      <c r="J63" s="142">
        <v>27</v>
      </c>
      <c r="K63" s="143" t="s">
        <v>9</v>
      </c>
      <c r="L63" s="144">
        <f t="shared" ref="L63:R63" si="227">SUM(L57,L60)</f>
        <v>47571596</v>
      </c>
      <c r="M63" s="144">
        <f t="shared" si="227"/>
        <v>50114230.25</v>
      </c>
      <c r="N63" s="144">
        <f t="shared" si="227"/>
        <v>53285863</v>
      </c>
      <c r="O63" s="144">
        <f t="shared" si="227"/>
        <v>54861456</v>
      </c>
      <c r="P63" s="144">
        <f t="shared" si="227"/>
        <v>56549300</v>
      </c>
      <c r="Q63" s="144">
        <f t="shared" si="227"/>
        <v>57893043</v>
      </c>
      <c r="R63" s="144">
        <f t="shared" si="227"/>
        <v>59269036</v>
      </c>
      <c r="S63" s="142">
        <v>27</v>
      </c>
      <c r="T63" s="143" t="s">
        <v>9</v>
      </c>
      <c r="U63" s="144">
        <f t="shared" ref="U63:AA63" si="228">SUM(U57,U60)</f>
        <v>60678053</v>
      </c>
      <c r="V63" s="144">
        <f t="shared" si="228"/>
        <v>62060768</v>
      </c>
      <c r="W63" s="144">
        <f t="shared" si="228"/>
        <v>63475286</v>
      </c>
      <c r="X63" s="144">
        <f t="shared" si="228"/>
        <v>64922338</v>
      </c>
      <c r="Y63" s="144">
        <f t="shared" si="228"/>
        <v>66402672</v>
      </c>
      <c r="Z63" s="144">
        <f t="shared" si="228"/>
        <v>67917053</v>
      </c>
      <c r="AA63" s="144">
        <f t="shared" si="228"/>
        <v>69398908</v>
      </c>
      <c r="AB63" s="142">
        <v>27</v>
      </c>
      <c r="AC63" s="143" t="s">
        <v>9</v>
      </c>
      <c r="AD63" s="144">
        <f t="shared" ref="AD63:AJ63" si="229">SUM(AD57,AD60)</f>
        <v>70913364</v>
      </c>
      <c r="AE63" s="144">
        <f t="shared" si="229"/>
        <v>72461138</v>
      </c>
      <c r="AF63" s="144">
        <f t="shared" si="229"/>
        <v>74042963</v>
      </c>
      <c r="AG63" s="144">
        <f t="shared" si="229"/>
        <v>75659588</v>
      </c>
      <c r="AH63" s="144">
        <f t="shared" si="229"/>
        <v>77236679</v>
      </c>
      <c r="AI63" s="144">
        <f t="shared" si="229"/>
        <v>78846889</v>
      </c>
      <c r="AJ63" s="144">
        <f t="shared" si="229"/>
        <v>80490914</v>
      </c>
      <c r="AK63" s="142">
        <v>27</v>
      </c>
      <c r="AL63" s="143" t="s">
        <v>9</v>
      </c>
      <c r="AM63" s="144">
        <f t="shared" ref="AM63:AS63" si="230">SUM(AM57,AM60)</f>
        <v>82169463</v>
      </c>
      <c r="AN63" s="144">
        <f t="shared" si="230"/>
        <v>83883262</v>
      </c>
      <c r="AO63" s="144">
        <f t="shared" si="230"/>
        <v>85549727</v>
      </c>
      <c r="AP63" s="144">
        <f t="shared" si="230"/>
        <v>87249522</v>
      </c>
      <c r="AQ63" s="144">
        <f t="shared" si="230"/>
        <v>88983312</v>
      </c>
      <c r="AR63" s="144">
        <f t="shared" si="230"/>
        <v>90751778</v>
      </c>
      <c r="AS63" s="144">
        <f t="shared" si="230"/>
        <v>92555614</v>
      </c>
      <c r="AT63" s="142">
        <v>27</v>
      </c>
      <c r="AU63" s="143" t="s">
        <v>9</v>
      </c>
      <c r="AV63" s="144">
        <f t="shared" ref="AV63:AX63" si="231">SUM(AV57,AV60)</f>
        <v>94395526</v>
      </c>
      <c r="AW63" s="144">
        <f t="shared" si="231"/>
        <v>96272237</v>
      </c>
      <c r="AX63" s="144">
        <f t="shared" si="231"/>
        <v>98186482</v>
      </c>
      <c r="BA63" s="26" t="s">
        <v>150</v>
      </c>
    </row>
    <row r="64" spans="1:53" ht="12" customHeight="1">
      <c r="A64" s="145">
        <v>28</v>
      </c>
      <c r="B64" s="146" t="s">
        <v>10</v>
      </c>
      <c r="C64" s="138">
        <f>SUM(C62-C63)</f>
        <v>-8427126.8000000045</v>
      </c>
      <c r="D64" s="138">
        <f t="shared" ref="D64:I64" si="232">SUM(D62-D63)</f>
        <v>-2625469.1499999985</v>
      </c>
      <c r="E64" s="138">
        <f t="shared" si="232"/>
        <v>-930000</v>
      </c>
      <c r="F64" s="138">
        <f t="shared" si="232"/>
        <v>-940580.78999999911</v>
      </c>
      <c r="G64" s="138">
        <f t="shared" si="232"/>
        <v>4596400</v>
      </c>
      <c r="H64" s="138">
        <f t="shared" si="232"/>
        <v>5260929</v>
      </c>
      <c r="I64" s="138">
        <f t="shared" si="232"/>
        <v>4669329</v>
      </c>
      <c r="J64" s="145">
        <v>28</v>
      </c>
      <c r="K64" s="146" t="s">
        <v>10</v>
      </c>
      <c r="L64" s="138">
        <f t="shared" ref="L64:R64" si="233">SUM(L62-L63)</f>
        <v>3762749</v>
      </c>
      <c r="M64" s="138">
        <f t="shared" si="233"/>
        <v>2638996.75</v>
      </c>
      <c r="N64" s="138">
        <f t="shared" si="233"/>
        <v>669695</v>
      </c>
      <c r="O64" s="138">
        <f t="shared" si="233"/>
        <v>375595</v>
      </c>
      <c r="P64" s="138">
        <f t="shared" si="233"/>
        <v>0</v>
      </c>
      <c r="Q64" s="138">
        <f t="shared" si="233"/>
        <v>0</v>
      </c>
      <c r="R64" s="138">
        <f t="shared" si="233"/>
        <v>0</v>
      </c>
      <c r="S64" s="145">
        <v>28</v>
      </c>
      <c r="T64" s="146" t="s">
        <v>10</v>
      </c>
      <c r="U64" s="138">
        <f t="shared" ref="U64:AA64" si="234">SUM(U62-U63)</f>
        <v>0</v>
      </c>
      <c r="V64" s="138">
        <f t="shared" si="234"/>
        <v>0</v>
      </c>
      <c r="W64" s="138">
        <f t="shared" si="234"/>
        <v>0</v>
      </c>
      <c r="X64" s="138">
        <f t="shared" si="234"/>
        <v>0</v>
      </c>
      <c r="Y64" s="138">
        <f t="shared" si="234"/>
        <v>0</v>
      </c>
      <c r="Z64" s="138">
        <f t="shared" si="234"/>
        <v>0</v>
      </c>
      <c r="AA64" s="138">
        <f t="shared" si="234"/>
        <v>0</v>
      </c>
      <c r="AB64" s="145">
        <v>28</v>
      </c>
      <c r="AC64" s="146" t="s">
        <v>10</v>
      </c>
      <c r="AD64" s="138">
        <f t="shared" ref="AD64:AJ64" si="235">SUM(AD62-AD63)</f>
        <v>0</v>
      </c>
      <c r="AE64" s="138">
        <f t="shared" si="235"/>
        <v>0</v>
      </c>
      <c r="AF64" s="138">
        <f t="shared" si="235"/>
        <v>0</v>
      </c>
      <c r="AG64" s="138">
        <f t="shared" si="235"/>
        <v>0</v>
      </c>
      <c r="AH64" s="138">
        <f t="shared" si="235"/>
        <v>0</v>
      </c>
      <c r="AI64" s="138">
        <f t="shared" si="235"/>
        <v>0</v>
      </c>
      <c r="AJ64" s="138">
        <f t="shared" si="235"/>
        <v>0</v>
      </c>
      <c r="AK64" s="145">
        <v>28</v>
      </c>
      <c r="AL64" s="146" t="s">
        <v>10</v>
      </c>
      <c r="AM64" s="138">
        <f t="shared" ref="AM64:AS64" si="236">SUM(AM62-AM63)</f>
        <v>0</v>
      </c>
      <c r="AN64" s="138">
        <f t="shared" si="236"/>
        <v>0</v>
      </c>
      <c r="AO64" s="138">
        <f t="shared" si="236"/>
        <v>0</v>
      </c>
      <c r="AP64" s="138">
        <f t="shared" si="236"/>
        <v>0</v>
      </c>
      <c r="AQ64" s="138">
        <f t="shared" si="236"/>
        <v>0</v>
      </c>
      <c r="AR64" s="138">
        <f t="shared" si="236"/>
        <v>0</v>
      </c>
      <c r="AS64" s="138">
        <f t="shared" si="236"/>
        <v>0</v>
      </c>
      <c r="AT64" s="145">
        <v>28</v>
      </c>
      <c r="AU64" s="146" t="s">
        <v>10</v>
      </c>
      <c r="AV64" s="138">
        <f t="shared" ref="AV64:AX64" si="237">SUM(AV62-AV63)</f>
        <v>0</v>
      </c>
      <c r="AW64" s="138">
        <f t="shared" si="237"/>
        <v>0</v>
      </c>
      <c r="AX64" s="138">
        <f t="shared" si="237"/>
        <v>0</v>
      </c>
    </row>
    <row r="65" spans="1:53" ht="12" customHeight="1">
      <c r="A65" s="200">
        <v>29</v>
      </c>
      <c r="B65" s="201" t="s">
        <v>91</v>
      </c>
      <c r="C65" s="202">
        <f>SUM(C18,C20,C33)</f>
        <v>13082643.65</v>
      </c>
      <c r="D65" s="202">
        <f t="shared" ref="D65:I65" si="238">SUM(D18,D20,D33)</f>
        <v>9081795.8499999996</v>
      </c>
      <c r="E65" s="202">
        <f t="shared" si="238"/>
        <v>5797880</v>
      </c>
      <c r="F65" s="202">
        <f t="shared" si="238"/>
        <v>5473880.7000000002</v>
      </c>
      <c r="G65" s="202">
        <f t="shared" si="238"/>
        <v>2</v>
      </c>
      <c r="H65" s="202">
        <f t="shared" si="238"/>
        <v>0</v>
      </c>
      <c r="I65" s="202">
        <f t="shared" si="238"/>
        <v>0</v>
      </c>
      <c r="J65" s="200">
        <v>29</v>
      </c>
      <c r="K65" s="201" t="s">
        <v>91</v>
      </c>
      <c r="L65" s="202">
        <f t="shared" ref="L65:R65" si="239">SUM(L18,L20,L33)</f>
        <v>0</v>
      </c>
      <c r="M65" s="202">
        <f t="shared" si="239"/>
        <v>0</v>
      </c>
      <c r="N65" s="202">
        <f t="shared" si="239"/>
        <v>0</v>
      </c>
      <c r="O65" s="202">
        <f t="shared" si="239"/>
        <v>0</v>
      </c>
      <c r="P65" s="202">
        <f t="shared" si="239"/>
        <v>0</v>
      </c>
      <c r="Q65" s="202">
        <f t="shared" si="239"/>
        <v>0</v>
      </c>
      <c r="R65" s="202">
        <f t="shared" si="239"/>
        <v>0</v>
      </c>
      <c r="S65" s="200">
        <v>29</v>
      </c>
      <c r="T65" s="201" t="s">
        <v>91</v>
      </c>
      <c r="U65" s="202">
        <f t="shared" ref="U65:AA65" si="240">SUM(U18,U20,U33)</f>
        <v>0</v>
      </c>
      <c r="V65" s="202">
        <f t="shared" si="240"/>
        <v>0</v>
      </c>
      <c r="W65" s="202">
        <f t="shared" si="240"/>
        <v>0</v>
      </c>
      <c r="X65" s="202">
        <f t="shared" si="240"/>
        <v>0</v>
      </c>
      <c r="Y65" s="202">
        <f t="shared" si="240"/>
        <v>0</v>
      </c>
      <c r="Z65" s="202">
        <f t="shared" si="240"/>
        <v>0</v>
      </c>
      <c r="AA65" s="202">
        <f t="shared" si="240"/>
        <v>0</v>
      </c>
      <c r="AB65" s="200">
        <v>29</v>
      </c>
      <c r="AC65" s="201" t="s">
        <v>91</v>
      </c>
      <c r="AD65" s="202">
        <f t="shared" ref="AD65:AJ65" si="241">SUM(AD18,AD20,AD33)</f>
        <v>0</v>
      </c>
      <c r="AE65" s="202">
        <f t="shared" si="241"/>
        <v>0</v>
      </c>
      <c r="AF65" s="202">
        <f t="shared" si="241"/>
        <v>0</v>
      </c>
      <c r="AG65" s="202">
        <f t="shared" si="241"/>
        <v>0</v>
      </c>
      <c r="AH65" s="202">
        <f t="shared" si="241"/>
        <v>0</v>
      </c>
      <c r="AI65" s="202">
        <f t="shared" si="241"/>
        <v>0</v>
      </c>
      <c r="AJ65" s="202">
        <f t="shared" si="241"/>
        <v>0</v>
      </c>
      <c r="AK65" s="200">
        <v>29</v>
      </c>
      <c r="AL65" s="201" t="s">
        <v>91</v>
      </c>
      <c r="AM65" s="202">
        <f t="shared" ref="AM65:AS65" si="242">SUM(AM18,AM20,AM33)</f>
        <v>0</v>
      </c>
      <c r="AN65" s="202">
        <f t="shared" si="242"/>
        <v>0</v>
      </c>
      <c r="AO65" s="202">
        <f t="shared" si="242"/>
        <v>0</v>
      </c>
      <c r="AP65" s="202">
        <f t="shared" si="242"/>
        <v>0</v>
      </c>
      <c r="AQ65" s="202">
        <f t="shared" si="242"/>
        <v>0</v>
      </c>
      <c r="AR65" s="202">
        <f t="shared" si="242"/>
        <v>0</v>
      </c>
      <c r="AS65" s="202">
        <f t="shared" si="242"/>
        <v>0</v>
      </c>
      <c r="AT65" s="200">
        <v>29</v>
      </c>
      <c r="AU65" s="201" t="s">
        <v>91</v>
      </c>
      <c r="AV65" s="202">
        <f t="shared" ref="AV65:AX65" si="243">SUM(AV18,AV20,AV33)</f>
        <v>0</v>
      </c>
      <c r="AW65" s="202">
        <f t="shared" si="243"/>
        <v>0</v>
      </c>
      <c r="AX65" s="202">
        <f t="shared" si="243"/>
        <v>0</v>
      </c>
      <c r="BA65" s="26"/>
    </row>
    <row r="66" spans="1:53" ht="13.5" customHeight="1">
      <c r="A66" s="145">
        <v>30</v>
      </c>
      <c r="B66" s="203" t="s">
        <v>92</v>
      </c>
      <c r="C66" s="138">
        <f>SUM(C24,C28)</f>
        <v>3719141</v>
      </c>
      <c r="D66" s="138">
        <f t="shared" ref="D66:I66" si="244">SUM(D24,D28)</f>
        <v>3684041</v>
      </c>
      <c r="E66" s="138">
        <f t="shared" si="244"/>
        <v>4867880</v>
      </c>
      <c r="F66" s="138">
        <f t="shared" si="244"/>
        <v>4533297.59</v>
      </c>
      <c r="G66" s="138">
        <f t="shared" si="244"/>
        <v>4596402</v>
      </c>
      <c r="H66" s="138">
        <f t="shared" si="244"/>
        <v>5260929</v>
      </c>
      <c r="I66" s="138">
        <f t="shared" si="244"/>
        <v>4669329</v>
      </c>
      <c r="J66" s="145">
        <v>30</v>
      </c>
      <c r="K66" s="203" t="s">
        <v>92</v>
      </c>
      <c r="L66" s="138">
        <f t="shared" ref="L66:R66" si="245">SUM(L24,L28)</f>
        <v>3762749</v>
      </c>
      <c r="M66" s="138">
        <f t="shared" si="245"/>
        <v>2638996.75</v>
      </c>
      <c r="N66" s="138">
        <f t="shared" si="245"/>
        <v>669695</v>
      </c>
      <c r="O66" s="138">
        <f t="shared" si="245"/>
        <v>375595</v>
      </c>
      <c r="P66" s="138">
        <f t="shared" si="245"/>
        <v>0</v>
      </c>
      <c r="Q66" s="138">
        <f t="shared" si="245"/>
        <v>0</v>
      </c>
      <c r="R66" s="138">
        <f t="shared" si="245"/>
        <v>0</v>
      </c>
      <c r="S66" s="145">
        <v>30</v>
      </c>
      <c r="T66" s="203" t="s">
        <v>92</v>
      </c>
      <c r="U66" s="138">
        <f t="shared" ref="U66:AA66" si="246">SUM(U24,U28)</f>
        <v>0</v>
      </c>
      <c r="V66" s="138">
        <f t="shared" si="246"/>
        <v>0</v>
      </c>
      <c r="W66" s="138">
        <f t="shared" si="246"/>
        <v>0</v>
      </c>
      <c r="X66" s="138">
        <f t="shared" si="246"/>
        <v>0</v>
      </c>
      <c r="Y66" s="138">
        <f t="shared" si="246"/>
        <v>0</v>
      </c>
      <c r="Z66" s="138">
        <f t="shared" si="246"/>
        <v>0</v>
      </c>
      <c r="AA66" s="138">
        <f t="shared" si="246"/>
        <v>0</v>
      </c>
      <c r="AB66" s="145">
        <v>30</v>
      </c>
      <c r="AC66" s="203" t="s">
        <v>92</v>
      </c>
      <c r="AD66" s="138">
        <f t="shared" ref="AD66:AJ66" si="247">SUM(AD24,AD28)</f>
        <v>0</v>
      </c>
      <c r="AE66" s="138">
        <f t="shared" si="247"/>
        <v>0</v>
      </c>
      <c r="AF66" s="138">
        <f t="shared" si="247"/>
        <v>0</v>
      </c>
      <c r="AG66" s="138">
        <f t="shared" si="247"/>
        <v>0</v>
      </c>
      <c r="AH66" s="138">
        <f t="shared" si="247"/>
        <v>0</v>
      </c>
      <c r="AI66" s="138">
        <f t="shared" si="247"/>
        <v>0</v>
      </c>
      <c r="AJ66" s="138">
        <f t="shared" si="247"/>
        <v>0</v>
      </c>
      <c r="AK66" s="145">
        <v>30</v>
      </c>
      <c r="AL66" s="203" t="s">
        <v>92</v>
      </c>
      <c r="AM66" s="138">
        <f t="shared" ref="AM66:AS66" si="248">SUM(AM24,AM28)</f>
        <v>0</v>
      </c>
      <c r="AN66" s="138">
        <f t="shared" si="248"/>
        <v>0</v>
      </c>
      <c r="AO66" s="138">
        <f t="shared" si="248"/>
        <v>0</v>
      </c>
      <c r="AP66" s="138">
        <f t="shared" si="248"/>
        <v>0</v>
      </c>
      <c r="AQ66" s="138">
        <f t="shared" si="248"/>
        <v>0</v>
      </c>
      <c r="AR66" s="138">
        <f t="shared" si="248"/>
        <v>0</v>
      </c>
      <c r="AS66" s="138">
        <f t="shared" si="248"/>
        <v>0</v>
      </c>
      <c r="AT66" s="145">
        <v>30</v>
      </c>
      <c r="AU66" s="203" t="s">
        <v>92</v>
      </c>
      <c r="AV66" s="138">
        <f t="shared" ref="AV66:AX66" si="249">SUM(AV24,AV28)</f>
        <v>0</v>
      </c>
      <c r="AW66" s="138">
        <f t="shared" si="249"/>
        <v>0</v>
      </c>
      <c r="AX66" s="138">
        <f t="shared" si="249"/>
        <v>0</v>
      </c>
      <c r="BA66" s="27" t="s">
        <v>151</v>
      </c>
    </row>
  </sheetData>
  <mergeCells count="7">
    <mergeCell ref="A1:C2"/>
    <mergeCell ref="AT39:BC39"/>
    <mergeCell ref="A39:I39"/>
    <mergeCell ref="J39:R39"/>
    <mergeCell ref="S39:AA39"/>
    <mergeCell ref="AB39:AJ39"/>
    <mergeCell ref="AK39:AS39"/>
  </mergeCells>
  <pageMargins left="0.16" right="0.17" top="0.41" bottom="0.34" header="0.22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7"/>
  <sheetViews>
    <sheetView topLeftCell="F28" workbookViewId="0">
      <selection activeCell="F32" sqref="F32"/>
    </sheetView>
  </sheetViews>
  <sheetFormatPr defaultRowHeight="14.25"/>
  <cols>
    <col min="1" max="1" width="45.625" style="30" customWidth="1"/>
    <col min="2" max="2" width="13.25" style="31" customWidth="1"/>
    <col min="3" max="4" width="4.625" style="30" customWidth="1"/>
    <col min="5" max="5" width="10.75" style="30" customWidth="1"/>
    <col min="6" max="6" width="9.75" style="30" customWidth="1"/>
    <col min="7" max="11" width="8.75" style="30" customWidth="1"/>
    <col min="12" max="12" width="45.625" style="30" customWidth="1"/>
    <col min="13" max="13" width="13.25" style="31" customWidth="1"/>
    <col min="14" max="15" width="4.625" style="30" customWidth="1"/>
    <col min="16" max="22" width="8.75" style="30" customWidth="1"/>
    <col min="23" max="23" width="45.625" style="30" customWidth="1"/>
    <col min="24" max="24" width="13.25" style="31" customWidth="1"/>
    <col min="25" max="26" width="4.625" style="30" customWidth="1"/>
    <col min="27" max="33" width="8.75" style="30" customWidth="1"/>
    <col min="34" max="34" width="45.625" style="30" customWidth="1"/>
    <col min="35" max="35" width="13.25" style="31" customWidth="1"/>
    <col min="36" max="37" width="4.625" style="30" customWidth="1"/>
    <col min="38" max="44" width="8.75" style="30" customWidth="1"/>
    <col min="45" max="45" width="45.625" style="30" customWidth="1"/>
    <col min="46" max="46" width="13.25" style="31" customWidth="1"/>
    <col min="47" max="48" width="4.625" style="30" customWidth="1"/>
    <col min="49" max="55" width="7.75" style="30" customWidth="1"/>
    <col min="56" max="56" width="8.75" style="30" customWidth="1"/>
    <col min="58" max="16384" width="9" style="30"/>
  </cols>
  <sheetData>
    <row r="1" spans="1:59" ht="15.75">
      <c r="A1" s="148" t="s">
        <v>152</v>
      </c>
      <c r="B1" s="110"/>
      <c r="C1" s="110"/>
      <c r="D1" s="110"/>
      <c r="K1" s="173" t="s">
        <v>266</v>
      </c>
      <c r="L1" s="28"/>
      <c r="M1" s="29"/>
      <c r="W1" s="28"/>
      <c r="X1" s="29"/>
      <c r="AH1" s="28"/>
      <c r="AI1" s="29"/>
      <c r="AS1" s="28"/>
      <c r="AT1" s="29"/>
      <c r="BE1" s="104"/>
    </row>
    <row r="2" spans="1:59" s="97" customFormat="1">
      <c r="A2" s="149"/>
      <c r="B2" s="149"/>
      <c r="C2" s="149"/>
      <c r="D2" s="149"/>
      <c r="K2" s="173" t="s">
        <v>256</v>
      </c>
      <c r="L2" s="93" t="s">
        <v>153</v>
      </c>
      <c r="M2" s="94"/>
      <c r="N2" s="94"/>
      <c r="O2" s="94"/>
      <c r="Q2" s="94"/>
      <c r="R2" s="94"/>
      <c r="S2" s="94"/>
      <c r="T2" s="94"/>
      <c r="U2" s="94"/>
      <c r="V2" s="94"/>
      <c r="W2" s="93" t="s">
        <v>154</v>
      </c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3" t="s">
        <v>155</v>
      </c>
      <c r="AI2" s="93"/>
      <c r="AJ2" s="93"/>
      <c r="AK2" s="93"/>
      <c r="AL2" s="94"/>
      <c r="AM2" s="94"/>
      <c r="AN2" s="94"/>
      <c r="AO2" s="93"/>
      <c r="AP2" s="93"/>
      <c r="AQ2" s="93"/>
      <c r="AR2" s="93"/>
      <c r="AS2" s="95" t="s">
        <v>156</v>
      </c>
      <c r="AT2" s="95"/>
      <c r="AU2" s="95"/>
      <c r="AV2" s="95"/>
      <c r="AW2" s="93"/>
      <c r="AX2" s="93"/>
      <c r="AY2" s="93"/>
      <c r="AZ2" s="93"/>
      <c r="BA2" s="95"/>
      <c r="BB2" s="95"/>
      <c r="BC2" s="95"/>
      <c r="BD2" s="95"/>
      <c r="BE2" s="151"/>
      <c r="BF2" s="95"/>
      <c r="BG2" s="95"/>
    </row>
    <row r="3" spans="1:59" s="33" customFormat="1" ht="12.75" customHeight="1">
      <c r="A3" s="233" t="s">
        <v>157</v>
      </c>
      <c r="B3" s="230" t="s">
        <v>158</v>
      </c>
      <c r="C3" s="232" t="s">
        <v>159</v>
      </c>
      <c r="D3" s="232"/>
      <c r="E3" s="230" t="s">
        <v>160</v>
      </c>
      <c r="F3" s="228" t="s">
        <v>161</v>
      </c>
      <c r="G3" s="228" t="s">
        <v>162</v>
      </c>
      <c r="H3" s="228" t="s">
        <v>163</v>
      </c>
      <c r="I3" s="228" t="s">
        <v>164</v>
      </c>
      <c r="J3" s="228" t="s">
        <v>165</v>
      </c>
      <c r="K3" s="222" t="s">
        <v>166</v>
      </c>
      <c r="L3" s="226" t="s">
        <v>157</v>
      </c>
      <c r="M3" s="230" t="s">
        <v>158</v>
      </c>
      <c r="N3" s="232" t="s">
        <v>159</v>
      </c>
      <c r="O3" s="232"/>
      <c r="P3" s="224" t="s">
        <v>167</v>
      </c>
      <c r="Q3" s="228" t="s">
        <v>168</v>
      </c>
      <c r="R3" s="228" t="s">
        <v>169</v>
      </c>
      <c r="S3" s="228" t="s">
        <v>170</v>
      </c>
      <c r="T3" s="228" t="s">
        <v>171</v>
      </c>
      <c r="U3" s="228" t="s">
        <v>172</v>
      </c>
      <c r="V3" s="222" t="s">
        <v>173</v>
      </c>
      <c r="W3" s="226" t="s">
        <v>157</v>
      </c>
      <c r="X3" s="230" t="s">
        <v>158</v>
      </c>
      <c r="Y3" s="232" t="s">
        <v>159</v>
      </c>
      <c r="Z3" s="232"/>
      <c r="AA3" s="228" t="s">
        <v>174</v>
      </c>
      <c r="AB3" s="224" t="s">
        <v>175</v>
      </c>
      <c r="AC3" s="228" t="s">
        <v>176</v>
      </c>
      <c r="AD3" s="228" t="s">
        <v>177</v>
      </c>
      <c r="AE3" s="228" t="s">
        <v>178</v>
      </c>
      <c r="AF3" s="228" t="s">
        <v>179</v>
      </c>
      <c r="AG3" s="222" t="s">
        <v>180</v>
      </c>
      <c r="AH3" s="226" t="s">
        <v>157</v>
      </c>
      <c r="AI3" s="230" t="s">
        <v>158</v>
      </c>
      <c r="AJ3" s="232" t="s">
        <v>159</v>
      </c>
      <c r="AK3" s="232"/>
      <c r="AL3" s="228" t="s">
        <v>181</v>
      </c>
      <c r="AM3" s="224" t="s">
        <v>182</v>
      </c>
      <c r="AN3" s="224" t="s">
        <v>183</v>
      </c>
      <c r="AO3" s="228" t="s">
        <v>184</v>
      </c>
      <c r="AP3" s="228" t="s">
        <v>185</v>
      </c>
      <c r="AQ3" s="228" t="s">
        <v>186</v>
      </c>
      <c r="AR3" s="222" t="s">
        <v>187</v>
      </c>
      <c r="AS3" s="226" t="s">
        <v>157</v>
      </c>
      <c r="AT3" s="230" t="s">
        <v>158</v>
      </c>
      <c r="AU3" s="232" t="s">
        <v>159</v>
      </c>
      <c r="AV3" s="232"/>
      <c r="AW3" s="228" t="s">
        <v>188</v>
      </c>
      <c r="AX3" s="228" t="s">
        <v>189</v>
      </c>
      <c r="AY3" s="224" t="s">
        <v>190</v>
      </c>
      <c r="AZ3" s="224" t="s">
        <v>191</v>
      </c>
      <c r="BA3" s="228" t="s">
        <v>192</v>
      </c>
      <c r="BB3" s="228" t="s">
        <v>193</v>
      </c>
      <c r="BC3" s="228" t="s">
        <v>194</v>
      </c>
      <c r="BD3" s="235" t="s">
        <v>195</v>
      </c>
      <c r="BE3" s="152"/>
    </row>
    <row r="4" spans="1:59" s="31" customFormat="1" ht="24.75" customHeight="1">
      <c r="A4" s="234"/>
      <c r="B4" s="231"/>
      <c r="C4" s="147" t="s">
        <v>196</v>
      </c>
      <c r="D4" s="147" t="s">
        <v>197</v>
      </c>
      <c r="E4" s="231"/>
      <c r="F4" s="229"/>
      <c r="G4" s="229"/>
      <c r="H4" s="229"/>
      <c r="I4" s="229"/>
      <c r="J4" s="229"/>
      <c r="K4" s="223"/>
      <c r="L4" s="227"/>
      <c r="M4" s="231"/>
      <c r="N4" s="147" t="s">
        <v>196</v>
      </c>
      <c r="O4" s="147" t="s">
        <v>197</v>
      </c>
      <c r="P4" s="225"/>
      <c r="Q4" s="229"/>
      <c r="R4" s="229"/>
      <c r="S4" s="229"/>
      <c r="T4" s="229"/>
      <c r="U4" s="229"/>
      <c r="V4" s="223"/>
      <c r="W4" s="227"/>
      <c r="X4" s="231"/>
      <c r="Y4" s="147" t="s">
        <v>196</v>
      </c>
      <c r="Z4" s="147" t="s">
        <v>197</v>
      </c>
      <c r="AA4" s="229"/>
      <c r="AB4" s="225"/>
      <c r="AC4" s="229"/>
      <c r="AD4" s="229"/>
      <c r="AE4" s="229"/>
      <c r="AF4" s="229"/>
      <c r="AG4" s="223"/>
      <c r="AH4" s="227"/>
      <c r="AI4" s="231"/>
      <c r="AJ4" s="147" t="s">
        <v>196</v>
      </c>
      <c r="AK4" s="147" t="s">
        <v>197</v>
      </c>
      <c r="AL4" s="229"/>
      <c r="AM4" s="225"/>
      <c r="AN4" s="225"/>
      <c r="AO4" s="229"/>
      <c r="AP4" s="229"/>
      <c r="AQ4" s="229"/>
      <c r="AR4" s="223"/>
      <c r="AS4" s="227"/>
      <c r="AT4" s="231"/>
      <c r="AU4" s="147" t="s">
        <v>196</v>
      </c>
      <c r="AV4" s="147" t="s">
        <v>197</v>
      </c>
      <c r="AW4" s="229"/>
      <c r="AX4" s="229"/>
      <c r="AY4" s="225"/>
      <c r="AZ4" s="225"/>
      <c r="BA4" s="229"/>
      <c r="BB4" s="229"/>
      <c r="BC4" s="229"/>
      <c r="BD4" s="236"/>
      <c r="BE4" s="153"/>
    </row>
    <row r="5" spans="1:59" s="37" customFormat="1" ht="15" customHeight="1">
      <c r="A5" s="237" t="s">
        <v>198</v>
      </c>
      <c r="B5" s="237"/>
      <c r="C5" s="237"/>
      <c r="D5" s="237"/>
      <c r="E5" s="239">
        <f t="shared" ref="E5:K5" si="0">+E7+E8</f>
        <v>103947365</v>
      </c>
      <c r="F5" s="184">
        <f>SUM(F7,F8)</f>
        <v>2861459</v>
      </c>
      <c r="G5" s="184">
        <f>SUM(G7,G8)</f>
        <v>1856411</v>
      </c>
      <c r="H5" s="239">
        <f t="shared" si="0"/>
        <v>1207400</v>
      </c>
      <c r="I5" s="239">
        <f t="shared" si="0"/>
        <v>1075300</v>
      </c>
      <c r="J5" s="239">
        <f t="shared" si="0"/>
        <v>1075100</v>
      </c>
      <c r="K5" s="241">
        <f t="shared" si="0"/>
        <v>1074700</v>
      </c>
      <c r="L5" s="243" t="s">
        <v>198</v>
      </c>
      <c r="M5" s="237"/>
      <c r="N5" s="237"/>
      <c r="O5" s="237"/>
      <c r="P5" s="239">
        <f>+P7+P8</f>
        <v>1074200</v>
      </c>
      <c r="Q5" s="239">
        <f t="shared" ref="Q5:U5" si="1">+Q7+Q8</f>
        <v>1073600</v>
      </c>
      <c r="R5" s="239">
        <f t="shared" si="1"/>
        <v>1072900</v>
      </c>
      <c r="S5" s="239">
        <f t="shared" si="1"/>
        <v>1072100</v>
      </c>
      <c r="T5" s="239">
        <f t="shared" si="1"/>
        <v>1071200</v>
      </c>
      <c r="U5" s="239">
        <f t="shared" si="1"/>
        <v>1070200</v>
      </c>
      <c r="V5" s="241">
        <f>+V7+V8</f>
        <v>1069100</v>
      </c>
      <c r="W5" s="243" t="s">
        <v>198</v>
      </c>
      <c r="X5" s="237"/>
      <c r="Y5" s="237"/>
      <c r="Z5" s="237"/>
      <c r="AA5" s="239">
        <f>+AA7+AA8</f>
        <v>1068000</v>
      </c>
      <c r="AB5" s="239">
        <f>+AB7+AB8</f>
        <v>1066800</v>
      </c>
      <c r="AC5" s="239">
        <f t="shared" ref="AC5:AE5" si="2">+AC7+AC8</f>
        <v>1065700</v>
      </c>
      <c r="AD5" s="239">
        <f t="shared" si="2"/>
        <v>22000</v>
      </c>
      <c r="AE5" s="239">
        <f t="shared" si="2"/>
        <v>21000</v>
      </c>
      <c r="AF5" s="239">
        <f>+AF7+AF8</f>
        <v>20000</v>
      </c>
      <c r="AG5" s="241">
        <f>+AG7+AG8</f>
        <v>19100</v>
      </c>
      <c r="AH5" s="243" t="s">
        <v>198</v>
      </c>
      <c r="AI5" s="237"/>
      <c r="AJ5" s="237"/>
      <c r="AK5" s="237"/>
      <c r="AL5" s="239">
        <f>+AL7+AL8</f>
        <v>18200</v>
      </c>
      <c r="AM5" s="239">
        <f>+AM7+AM8</f>
        <v>17300</v>
      </c>
      <c r="AN5" s="239">
        <f>+AN7+AN8</f>
        <v>16500</v>
      </c>
      <c r="AO5" s="239">
        <f t="shared" ref="AO5:AX5" si="3">+AO7+AO8</f>
        <v>15800</v>
      </c>
      <c r="AP5" s="239">
        <f>+AP7+AP8</f>
        <v>13600</v>
      </c>
      <c r="AQ5" s="239">
        <f>+AQ7+AQ8</f>
        <v>13000</v>
      </c>
      <c r="AR5" s="241">
        <f>+AR7+AR8</f>
        <v>12500</v>
      </c>
      <c r="AS5" s="243" t="s">
        <v>198</v>
      </c>
      <c r="AT5" s="237"/>
      <c r="AU5" s="237"/>
      <c r="AV5" s="237"/>
      <c r="AW5" s="239">
        <f t="shared" si="3"/>
        <v>12500</v>
      </c>
      <c r="AX5" s="239">
        <f t="shared" si="3"/>
        <v>12500</v>
      </c>
      <c r="AY5" s="239">
        <f>+AY7+AY8</f>
        <v>12300</v>
      </c>
      <c r="AZ5" s="239">
        <f>+AZ7+AZ8</f>
        <v>12200</v>
      </c>
      <c r="BA5" s="239">
        <f>+BA7+BA8</f>
        <v>10000</v>
      </c>
      <c r="BB5" s="239">
        <f>+BB7+BB8</f>
        <v>11900</v>
      </c>
      <c r="BC5" s="239">
        <f>+BC7+BC8</f>
        <v>11800</v>
      </c>
      <c r="BD5" s="163">
        <f>SUM(BD7,BD8)</f>
        <v>400957</v>
      </c>
      <c r="BE5" s="154"/>
    </row>
    <row r="6" spans="1:59" s="37" customFormat="1" ht="15" customHeight="1">
      <c r="A6" s="238"/>
      <c r="B6" s="238"/>
      <c r="C6" s="238"/>
      <c r="D6" s="238"/>
      <c r="E6" s="240"/>
      <c r="F6" s="182">
        <f>SUM(F9)</f>
        <v>20747515</v>
      </c>
      <c r="G6" s="182">
        <f>SUM(G9)</f>
        <v>3600000</v>
      </c>
      <c r="H6" s="240"/>
      <c r="I6" s="240"/>
      <c r="J6" s="240"/>
      <c r="K6" s="242"/>
      <c r="L6" s="244"/>
      <c r="M6" s="238"/>
      <c r="N6" s="238"/>
      <c r="O6" s="238"/>
      <c r="P6" s="240"/>
      <c r="Q6" s="240"/>
      <c r="R6" s="240"/>
      <c r="S6" s="240"/>
      <c r="T6" s="240"/>
      <c r="U6" s="240"/>
      <c r="V6" s="242"/>
      <c r="W6" s="244"/>
      <c r="X6" s="238"/>
      <c r="Y6" s="238"/>
      <c r="Z6" s="238"/>
      <c r="AA6" s="240"/>
      <c r="AB6" s="240"/>
      <c r="AC6" s="240"/>
      <c r="AD6" s="240"/>
      <c r="AE6" s="240"/>
      <c r="AF6" s="240"/>
      <c r="AG6" s="242"/>
      <c r="AH6" s="244"/>
      <c r="AI6" s="238"/>
      <c r="AJ6" s="238"/>
      <c r="AK6" s="238"/>
      <c r="AL6" s="240"/>
      <c r="AM6" s="240"/>
      <c r="AN6" s="240"/>
      <c r="AO6" s="240"/>
      <c r="AP6" s="240"/>
      <c r="AQ6" s="240"/>
      <c r="AR6" s="242"/>
      <c r="AS6" s="244"/>
      <c r="AT6" s="238"/>
      <c r="AU6" s="238"/>
      <c r="AV6" s="238"/>
      <c r="AW6" s="240"/>
      <c r="AX6" s="240"/>
      <c r="AY6" s="240"/>
      <c r="AZ6" s="240"/>
      <c r="BA6" s="240"/>
      <c r="BB6" s="240"/>
      <c r="BC6" s="240"/>
      <c r="BD6" s="164">
        <f>SUM(BD9)</f>
        <v>115450</v>
      </c>
      <c r="BE6" s="154"/>
    </row>
    <row r="7" spans="1:59" s="40" customFormat="1" ht="15" customHeight="1">
      <c r="A7" s="245" t="s">
        <v>199</v>
      </c>
      <c r="B7" s="245"/>
      <c r="C7" s="245"/>
      <c r="D7" s="245"/>
      <c r="E7" s="181">
        <f t="shared" ref="E7:K7" si="4">+E12+E27+E49</f>
        <v>1807016</v>
      </c>
      <c r="F7" s="181">
        <f t="shared" si="4"/>
        <v>424274</v>
      </c>
      <c r="G7" s="181">
        <f t="shared" si="4"/>
        <v>313811</v>
      </c>
      <c r="H7" s="181">
        <f t="shared" si="4"/>
        <v>164800</v>
      </c>
      <c r="I7" s="38">
        <f t="shared" si="4"/>
        <v>32700</v>
      </c>
      <c r="J7" s="38">
        <f t="shared" si="4"/>
        <v>32500</v>
      </c>
      <c r="K7" s="44">
        <f t="shared" si="4"/>
        <v>32100</v>
      </c>
      <c r="L7" s="246" t="s">
        <v>199</v>
      </c>
      <c r="M7" s="245"/>
      <c r="N7" s="245"/>
      <c r="O7" s="245"/>
      <c r="P7" s="38">
        <f t="shared" ref="P7:V7" si="5">+P12+P27+P49</f>
        <v>31600</v>
      </c>
      <c r="Q7" s="38">
        <f t="shared" si="5"/>
        <v>31000</v>
      </c>
      <c r="R7" s="38">
        <f t="shared" si="5"/>
        <v>30300</v>
      </c>
      <c r="S7" s="38">
        <f t="shared" si="5"/>
        <v>29500</v>
      </c>
      <c r="T7" s="38">
        <f t="shared" si="5"/>
        <v>28600</v>
      </c>
      <c r="U7" s="38">
        <f t="shared" si="5"/>
        <v>27600</v>
      </c>
      <c r="V7" s="44">
        <f t="shared" si="5"/>
        <v>26500</v>
      </c>
      <c r="W7" s="246" t="s">
        <v>199</v>
      </c>
      <c r="X7" s="245"/>
      <c r="Y7" s="245"/>
      <c r="Z7" s="245"/>
      <c r="AA7" s="38">
        <f t="shared" ref="AA7:AG7" si="6">+AA12+AA27+AA49</f>
        <v>25400</v>
      </c>
      <c r="AB7" s="38">
        <f t="shared" si="6"/>
        <v>24200</v>
      </c>
      <c r="AC7" s="38">
        <f t="shared" si="6"/>
        <v>23100</v>
      </c>
      <c r="AD7" s="38">
        <f t="shared" si="6"/>
        <v>22000</v>
      </c>
      <c r="AE7" s="38">
        <f t="shared" si="6"/>
        <v>21000</v>
      </c>
      <c r="AF7" s="38">
        <f t="shared" si="6"/>
        <v>20000</v>
      </c>
      <c r="AG7" s="44">
        <f t="shared" si="6"/>
        <v>19100</v>
      </c>
      <c r="AH7" s="246" t="s">
        <v>199</v>
      </c>
      <c r="AI7" s="245"/>
      <c r="AJ7" s="245"/>
      <c r="AK7" s="245"/>
      <c r="AL7" s="38">
        <f t="shared" ref="AL7:AR7" si="7">+AL12+AL27+AL49</f>
        <v>18200</v>
      </c>
      <c r="AM7" s="38">
        <f t="shared" si="7"/>
        <v>17300</v>
      </c>
      <c r="AN7" s="38">
        <f t="shared" si="7"/>
        <v>16500</v>
      </c>
      <c r="AO7" s="38">
        <f t="shared" si="7"/>
        <v>15800</v>
      </c>
      <c r="AP7" s="38">
        <f t="shared" si="7"/>
        <v>13600</v>
      </c>
      <c r="AQ7" s="38">
        <f t="shared" si="7"/>
        <v>13000</v>
      </c>
      <c r="AR7" s="44">
        <f t="shared" si="7"/>
        <v>12500</v>
      </c>
      <c r="AS7" s="246" t="s">
        <v>199</v>
      </c>
      <c r="AT7" s="245"/>
      <c r="AU7" s="245"/>
      <c r="AV7" s="245"/>
      <c r="AW7" s="38">
        <f t="shared" ref="AW7:BC7" si="8">+AW12+AW27+AW49</f>
        <v>12500</v>
      </c>
      <c r="AX7" s="38">
        <f t="shared" si="8"/>
        <v>12500</v>
      </c>
      <c r="AY7" s="38">
        <f t="shared" si="8"/>
        <v>12300</v>
      </c>
      <c r="AZ7" s="38">
        <f t="shared" si="8"/>
        <v>12200</v>
      </c>
      <c r="BA7" s="38">
        <f t="shared" si="8"/>
        <v>10000</v>
      </c>
      <c r="BB7" s="38">
        <f t="shared" si="8"/>
        <v>11900</v>
      </c>
      <c r="BC7" s="38">
        <f t="shared" si="8"/>
        <v>11800</v>
      </c>
      <c r="BD7" s="165">
        <f>SUM(BD12,BD27,BD49)</f>
        <v>0</v>
      </c>
      <c r="BE7" s="96"/>
    </row>
    <row r="8" spans="1:59" s="40" customFormat="1" ht="15" customHeight="1">
      <c r="A8" s="245" t="s">
        <v>200</v>
      </c>
      <c r="B8" s="245"/>
      <c r="C8" s="245"/>
      <c r="D8" s="245"/>
      <c r="E8" s="247">
        <f>+E13+E39</f>
        <v>102140349</v>
      </c>
      <c r="F8" s="181">
        <f>SUM(F13,F39)</f>
        <v>2437185</v>
      </c>
      <c r="G8" s="181">
        <f>SUM(G13,G39)</f>
        <v>1542600</v>
      </c>
      <c r="H8" s="247">
        <f>+H13+H39</f>
        <v>1042600</v>
      </c>
      <c r="I8" s="247">
        <f>+I13+I39</f>
        <v>1042600</v>
      </c>
      <c r="J8" s="247">
        <f>+J13+J39</f>
        <v>1042600</v>
      </c>
      <c r="K8" s="248">
        <f>+K13+K39</f>
        <v>1042600</v>
      </c>
      <c r="L8" s="246" t="s">
        <v>200</v>
      </c>
      <c r="M8" s="245"/>
      <c r="N8" s="245"/>
      <c r="O8" s="245"/>
      <c r="P8" s="247">
        <f t="shared" ref="P8:V8" si="9">+P13+P39</f>
        <v>1042600</v>
      </c>
      <c r="Q8" s="247">
        <f t="shared" si="9"/>
        <v>1042600</v>
      </c>
      <c r="R8" s="247">
        <f t="shared" si="9"/>
        <v>1042600</v>
      </c>
      <c r="S8" s="247">
        <f t="shared" si="9"/>
        <v>1042600</v>
      </c>
      <c r="T8" s="247">
        <f t="shared" si="9"/>
        <v>1042600</v>
      </c>
      <c r="U8" s="247">
        <f t="shared" si="9"/>
        <v>1042600</v>
      </c>
      <c r="V8" s="248">
        <f t="shared" si="9"/>
        <v>1042600</v>
      </c>
      <c r="W8" s="246" t="s">
        <v>200</v>
      </c>
      <c r="X8" s="245"/>
      <c r="Y8" s="245"/>
      <c r="Z8" s="245"/>
      <c r="AA8" s="247">
        <f t="shared" ref="AA8:AG8" si="10">+AA13+AA39</f>
        <v>1042600</v>
      </c>
      <c r="AB8" s="247">
        <f t="shared" si="10"/>
        <v>1042600</v>
      </c>
      <c r="AC8" s="247">
        <f t="shared" si="10"/>
        <v>1042600</v>
      </c>
      <c r="AD8" s="247">
        <f t="shared" si="10"/>
        <v>0</v>
      </c>
      <c r="AE8" s="247">
        <f t="shared" si="10"/>
        <v>0</v>
      </c>
      <c r="AF8" s="247">
        <f t="shared" si="10"/>
        <v>0</v>
      </c>
      <c r="AG8" s="248">
        <f t="shared" si="10"/>
        <v>0</v>
      </c>
      <c r="AH8" s="246" t="s">
        <v>200</v>
      </c>
      <c r="AI8" s="245"/>
      <c r="AJ8" s="245"/>
      <c r="AK8" s="245"/>
      <c r="AL8" s="247">
        <f t="shared" ref="AL8:AR8" si="11">+AL13+AL39</f>
        <v>0</v>
      </c>
      <c r="AM8" s="247">
        <f t="shared" si="11"/>
        <v>0</v>
      </c>
      <c r="AN8" s="247">
        <f t="shared" si="11"/>
        <v>0</v>
      </c>
      <c r="AO8" s="247">
        <f t="shared" si="11"/>
        <v>0</v>
      </c>
      <c r="AP8" s="247">
        <f t="shared" si="11"/>
        <v>0</v>
      </c>
      <c r="AQ8" s="247">
        <f t="shared" si="11"/>
        <v>0</v>
      </c>
      <c r="AR8" s="248">
        <f t="shared" si="11"/>
        <v>0</v>
      </c>
      <c r="AS8" s="246" t="s">
        <v>200</v>
      </c>
      <c r="AT8" s="245"/>
      <c r="AU8" s="245"/>
      <c r="AV8" s="245"/>
      <c r="AW8" s="247">
        <f t="shared" ref="AW8:BC8" si="12">+AW13+AW39</f>
        <v>0</v>
      </c>
      <c r="AX8" s="247">
        <f t="shared" si="12"/>
        <v>0</v>
      </c>
      <c r="AY8" s="247">
        <f t="shared" si="12"/>
        <v>0</v>
      </c>
      <c r="AZ8" s="247">
        <f t="shared" si="12"/>
        <v>0</v>
      </c>
      <c r="BA8" s="247">
        <f t="shared" si="12"/>
        <v>0</v>
      </c>
      <c r="BB8" s="247">
        <f t="shared" si="12"/>
        <v>0</v>
      </c>
      <c r="BC8" s="247">
        <f t="shared" si="12"/>
        <v>0</v>
      </c>
      <c r="BD8" s="165">
        <f>SUM(BD13,BD39)</f>
        <v>400957</v>
      </c>
      <c r="BE8" s="96"/>
    </row>
    <row r="9" spans="1:59" s="40" customFormat="1" ht="15" customHeight="1">
      <c r="A9" s="245"/>
      <c r="B9" s="245"/>
      <c r="C9" s="245"/>
      <c r="D9" s="245"/>
      <c r="E9" s="247"/>
      <c r="F9" s="181">
        <f>SUM(F40,F14)</f>
        <v>20747515</v>
      </c>
      <c r="G9" s="42">
        <f>SUM(G11)</f>
        <v>3600000</v>
      </c>
      <c r="H9" s="247"/>
      <c r="I9" s="247"/>
      <c r="J9" s="247"/>
      <c r="K9" s="248"/>
      <c r="L9" s="246"/>
      <c r="M9" s="245"/>
      <c r="N9" s="245"/>
      <c r="O9" s="245"/>
      <c r="P9" s="247"/>
      <c r="Q9" s="247"/>
      <c r="R9" s="247"/>
      <c r="S9" s="247"/>
      <c r="T9" s="247"/>
      <c r="U9" s="247"/>
      <c r="V9" s="248"/>
      <c r="W9" s="246"/>
      <c r="X9" s="245"/>
      <c r="Y9" s="245"/>
      <c r="Z9" s="245"/>
      <c r="AA9" s="247"/>
      <c r="AB9" s="247"/>
      <c r="AC9" s="247"/>
      <c r="AD9" s="247"/>
      <c r="AE9" s="247"/>
      <c r="AF9" s="247"/>
      <c r="AG9" s="248"/>
      <c r="AH9" s="246"/>
      <c r="AI9" s="245"/>
      <c r="AJ9" s="245"/>
      <c r="AK9" s="245"/>
      <c r="AL9" s="247"/>
      <c r="AM9" s="247"/>
      <c r="AN9" s="247"/>
      <c r="AO9" s="247"/>
      <c r="AP9" s="247"/>
      <c r="AQ9" s="247"/>
      <c r="AR9" s="248"/>
      <c r="AS9" s="246"/>
      <c r="AT9" s="245"/>
      <c r="AU9" s="245"/>
      <c r="AV9" s="245"/>
      <c r="AW9" s="247"/>
      <c r="AX9" s="247"/>
      <c r="AY9" s="247"/>
      <c r="AZ9" s="247"/>
      <c r="BA9" s="247"/>
      <c r="BB9" s="247"/>
      <c r="BC9" s="247"/>
      <c r="BD9" s="165">
        <f>SUM(BD14,BD40)</f>
        <v>115450</v>
      </c>
      <c r="BE9" s="96"/>
    </row>
    <row r="10" spans="1:59" s="43" customFormat="1" ht="15" customHeight="1">
      <c r="A10" s="249" t="s">
        <v>201</v>
      </c>
      <c r="B10" s="249"/>
      <c r="C10" s="249"/>
      <c r="D10" s="249"/>
      <c r="E10" s="250">
        <f>SUM(E12:E14)</f>
        <v>82400544</v>
      </c>
      <c r="F10" s="183">
        <f>SUM(F12,F13)</f>
        <v>954208</v>
      </c>
      <c r="G10" s="183">
        <f>SUM(G12,G13)</f>
        <v>776120</v>
      </c>
      <c r="H10" s="250">
        <f>+H12+H13</f>
        <v>130000</v>
      </c>
      <c r="I10" s="250">
        <f>+I12+I13</f>
        <v>0</v>
      </c>
      <c r="J10" s="250">
        <f>+J12+J13</f>
        <v>0</v>
      </c>
      <c r="K10" s="251">
        <f>+K12+K13</f>
        <v>0</v>
      </c>
      <c r="L10" s="252" t="s">
        <v>201</v>
      </c>
      <c r="M10" s="249"/>
      <c r="N10" s="249"/>
      <c r="O10" s="249"/>
      <c r="P10" s="250">
        <f>+P12+P13</f>
        <v>0</v>
      </c>
      <c r="Q10" s="250">
        <f t="shared" ref="Q10:U10" si="13">+Q12+Q13</f>
        <v>0</v>
      </c>
      <c r="R10" s="250">
        <f t="shared" si="13"/>
        <v>0</v>
      </c>
      <c r="S10" s="250">
        <f t="shared" si="13"/>
        <v>0</v>
      </c>
      <c r="T10" s="250">
        <f t="shared" si="13"/>
        <v>0</v>
      </c>
      <c r="U10" s="250">
        <f t="shared" si="13"/>
        <v>0</v>
      </c>
      <c r="V10" s="251">
        <f>+V12+V13</f>
        <v>0</v>
      </c>
      <c r="W10" s="252" t="s">
        <v>201</v>
      </c>
      <c r="X10" s="249"/>
      <c r="Y10" s="249"/>
      <c r="Z10" s="249"/>
      <c r="AA10" s="250">
        <f>+AA12+AA13</f>
        <v>0</v>
      </c>
      <c r="AB10" s="250">
        <f>+AB12+AB13</f>
        <v>0</v>
      </c>
      <c r="AC10" s="250">
        <f t="shared" ref="AC10:AE10" si="14">+AC12+AC13</f>
        <v>0</v>
      </c>
      <c r="AD10" s="250">
        <f t="shared" si="14"/>
        <v>0</v>
      </c>
      <c r="AE10" s="250">
        <f t="shared" si="14"/>
        <v>0</v>
      </c>
      <c r="AF10" s="250">
        <f>+AF12+AF13</f>
        <v>0</v>
      </c>
      <c r="AG10" s="251">
        <f>+AG12+AG13</f>
        <v>0</v>
      </c>
      <c r="AH10" s="252" t="s">
        <v>201</v>
      </c>
      <c r="AI10" s="249"/>
      <c r="AJ10" s="249"/>
      <c r="AK10" s="249"/>
      <c r="AL10" s="250">
        <f>+AL12+AL13</f>
        <v>0</v>
      </c>
      <c r="AM10" s="250">
        <f>+AM12+AM13</f>
        <v>0</v>
      </c>
      <c r="AN10" s="250">
        <f>+AN12+AN13</f>
        <v>0</v>
      </c>
      <c r="AO10" s="250">
        <f t="shared" ref="AO10:AX10" si="15">+AO12+AO13</f>
        <v>0</v>
      </c>
      <c r="AP10" s="250">
        <f>+AP12+AP13</f>
        <v>0</v>
      </c>
      <c r="AQ10" s="250">
        <f>+AQ12+AQ13</f>
        <v>0</v>
      </c>
      <c r="AR10" s="251">
        <f>+AR12+AR13</f>
        <v>0</v>
      </c>
      <c r="AS10" s="252" t="s">
        <v>201</v>
      </c>
      <c r="AT10" s="249"/>
      <c r="AU10" s="249"/>
      <c r="AV10" s="249"/>
      <c r="AW10" s="250">
        <f t="shared" si="15"/>
        <v>0</v>
      </c>
      <c r="AX10" s="250">
        <f t="shared" si="15"/>
        <v>0</v>
      </c>
      <c r="AY10" s="250">
        <f>+AY12+AY13</f>
        <v>0</v>
      </c>
      <c r="AZ10" s="250">
        <f>+AZ12+AZ13</f>
        <v>0</v>
      </c>
      <c r="BA10" s="250">
        <f>+BA12+BA13</f>
        <v>0</v>
      </c>
      <c r="BB10" s="250">
        <f>+BB12+BB13</f>
        <v>0</v>
      </c>
      <c r="BC10" s="250">
        <f>+BC12+BC13</f>
        <v>0</v>
      </c>
      <c r="BD10" s="164">
        <f>SUM(BD12,BD13)</f>
        <v>0</v>
      </c>
      <c r="BE10" s="155"/>
    </row>
    <row r="11" spans="1:59" s="43" customFormat="1" ht="15" customHeight="1">
      <c r="A11" s="249"/>
      <c r="B11" s="249"/>
      <c r="C11" s="249"/>
      <c r="D11" s="249"/>
      <c r="E11" s="250"/>
      <c r="F11" s="183">
        <f>SUM(F14)</f>
        <v>20000000</v>
      </c>
      <c r="G11" s="183">
        <f>SUM(G14)</f>
        <v>3600000</v>
      </c>
      <c r="H11" s="250"/>
      <c r="I11" s="250"/>
      <c r="J11" s="250"/>
      <c r="K11" s="251"/>
      <c r="L11" s="252"/>
      <c r="M11" s="249"/>
      <c r="N11" s="249"/>
      <c r="O11" s="249"/>
      <c r="P11" s="250"/>
      <c r="Q11" s="250"/>
      <c r="R11" s="250"/>
      <c r="S11" s="250"/>
      <c r="T11" s="250"/>
      <c r="U11" s="250"/>
      <c r="V11" s="251"/>
      <c r="W11" s="252"/>
      <c r="X11" s="249"/>
      <c r="Y11" s="249"/>
      <c r="Z11" s="249"/>
      <c r="AA11" s="250"/>
      <c r="AB11" s="250"/>
      <c r="AC11" s="250"/>
      <c r="AD11" s="250"/>
      <c r="AE11" s="250"/>
      <c r="AF11" s="250"/>
      <c r="AG11" s="251"/>
      <c r="AH11" s="252"/>
      <c r="AI11" s="249"/>
      <c r="AJ11" s="249"/>
      <c r="AK11" s="249"/>
      <c r="AL11" s="250"/>
      <c r="AM11" s="250"/>
      <c r="AN11" s="250"/>
      <c r="AO11" s="250"/>
      <c r="AP11" s="250"/>
      <c r="AQ11" s="250"/>
      <c r="AR11" s="251"/>
      <c r="AS11" s="252"/>
      <c r="AT11" s="249"/>
      <c r="AU11" s="249"/>
      <c r="AV11" s="249"/>
      <c r="AW11" s="250"/>
      <c r="AX11" s="250"/>
      <c r="AY11" s="250"/>
      <c r="AZ11" s="250"/>
      <c r="BA11" s="250"/>
      <c r="BB11" s="250"/>
      <c r="BC11" s="250"/>
      <c r="BD11" s="164">
        <f>SUM(BD14)</f>
        <v>0</v>
      </c>
      <c r="BE11" s="155"/>
    </row>
    <row r="12" spans="1:59" s="40" customFormat="1" ht="15" customHeight="1">
      <c r="A12" s="245" t="s">
        <v>199</v>
      </c>
      <c r="B12" s="245"/>
      <c r="C12" s="245"/>
      <c r="D12" s="245"/>
      <c r="E12" s="181">
        <f t="shared" ref="E12:K12" si="16">+E17</f>
        <v>750674</v>
      </c>
      <c r="F12" s="181">
        <f t="shared" si="16"/>
        <v>281808</v>
      </c>
      <c r="G12" s="181">
        <f t="shared" si="16"/>
        <v>276120</v>
      </c>
      <c r="H12" s="181">
        <f t="shared" si="16"/>
        <v>130000</v>
      </c>
      <c r="I12" s="38">
        <f t="shared" si="16"/>
        <v>0</v>
      </c>
      <c r="J12" s="38">
        <f t="shared" si="16"/>
        <v>0</v>
      </c>
      <c r="K12" s="44">
        <f t="shared" si="16"/>
        <v>0</v>
      </c>
      <c r="L12" s="246" t="s">
        <v>199</v>
      </c>
      <c r="M12" s="245"/>
      <c r="N12" s="245"/>
      <c r="O12" s="245"/>
      <c r="P12" s="38">
        <f>+P17</f>
        <v>0</v>
      </c>
      <c r="Q12" s="38">
        <f t="shared" ref="Q12:U12" si="17">+Q17</f>
        <v>0</v>
      </c>
      <c r="R12" s="38">
        <f t="shared" si="17"/>
        <v>0</v>
      </c>
      <c r="S12" s="38">
        <f t="shared" si="17"/>
        <v>0</v>
      </c>
      <c r="T12" s="38">
        <f t="shared" si="17"/>
        <v>0</v>
      </c>
      <c r="U12" s="38">
        <f t="shared" si="17"/>
        <v>0</v>
      </c>
      <c r="V12" s="44">
        <f>+V17</f>
        <v>0</v>
      </c>
      <c r="W12" s="246" t="s">
        <v>199</v>
      </c>
      <c r="X12" s="245"/>
      <c r="Y12" s="245"/>
      <c r="Z12" s="245"/>
      <c r="AA12" s="38">
        <f>+AA17</f>
        <v>0</v>
      </c>
      <c r="AB12" s="38">
        <f>+AB17</f>
        <v>0</v>
      </c>
      <c r="AC12" s="38">
        <f t="shared" ref="AC12:AE12" si="18">+AC17</f>
        <v>0</v>
      </c>
      <c r="AD12" s="38">
        <f t="shared" si="18"/>
        <v>0</v>
      </c>
      <c r="AE12" s="38">
        <f t="shared" si="18"/>
        <v>0</v>
      </c>
      <c r="AF12" s="38">
        <f>+AF17</f>
        <v>0</v>
      </c>
      <c r="AG12" s="44">
        <f>+AG17</f>
        <v>0</v>
      </c>
      <c r="AH12" s="246" t="s">
        <v>199</v>
      </c>
      <c r="AI12" s="245"/>
      <c r="AJ12" s="245"/>
      <c r="AK12" s="245"/>
      <c r="AL12" s="38">
        <f>+AL17</f>
        <v>0</v>
      </c>
      <c r="AM12" s="38">
        <f>+AM17</f>
        <v>0</v>
      </c>
      <c r="AN12" s="38">
        <f>+AN17</f>
        <v>0</v>
      </c>
      <c r="AO12" s="38">
        <f t="shared" ref="AO12:AX12" si="19">+AO17</f>
        <v>0</v>
      </c>
      <c r="AP12" s="38">
        <f>+AP17</f>
        <v>0</v>
      </c>
      <c r="AQ12" s="38">
        <f>+AQ17</f>
        <v>0</v>
      </c>
      <c r="AR12" s="44">
        <f>+AR17</f>
        <v>0</v>
      </c>
      <c r="AS12" s="246" t="s">
        <v>199</v>
      </c>
      <c r="AT12" s="245"/>
      <c r="AU12" s="245"/>
      <c r="AV12" s="245"/>
      <c r="AW12" s="38">
        <f t="shared" si="19"/>
        <v>0</v>
      </c>
      <c r="AX12" s="38">
        <f t="shared" si="19"/>
        <v>0</v>
      </c>
      <c r="AY12" s="38">
        <f>+AY17</f>
        <v>0</v>
      </c>
      <c r="AZ12" s="38">
        <f>+AZ17</f>
        <v>0</v>
      </c>
      <c r="BA12" s="38">
        <f>+BA17</f>
        <v>0</v>
      </c>
      <c r="BB12" s="38">
        <f>+BB17</f>
        <v>0</v>
      </c>
      <c r="BC12" s="38">
        <f>+BC17</f>
        <v>0</v>
      </c>
      <c r="BD12" s="165">
        <f>SUM(BD17)</f>
        <v>0</v>
      </c>
      <c r="BE12" s="96"/>
    </row>
    <row r="13" spans="1:59" s="40" customFormat="1" ht="15" customHeight="1">
      <c r="A13" s="245" t="s">
        <v>200</v>
      </c>
      <c r="B13" s="245"/>
      <c r="C13" s="245"/>
      <c r="D13" s="245"/>
      <c r="E13" s="247">
        <f>+E21</f>
        <v>81649870</v>
      </c>
      <c r="F13" s="181">
        <f>SUM(F21)</f>
        <v>672400</v>
      </c>
      <c r="G13" s="181">
        <f>SUM(G21)</f>
        <v>500000</v>
      </c>
      <c r="H13" s="247">
        <f>+H21</f>
        <v>0</v>
      </c>
      <c r="I13" s="247">
        <f>+I21</f>
        <v>0</v>
      </c>
      <c r="J13" s="247">
        <f>+J21</f>
        <v>0</v>
      </c>
      <c r="K13" s="248">
        <f>+K21</f>
        <v>0</v>
      </c>
      <c r="L13" s="246" t="s">
        <v>200</v>
      </c>
      <c r="M13" s="245"/>
      <c r="N13" s="245"/>
      <c r="O13" s="245"/>
      <c r="P13" s="247">
        <f>+P21</f>
        <v>0</v>
      </c>
      <c r="Q13" s="247">
        <f t="shared" ref="Q13:U13" si="20">+Q21</f>
        <v>0</v>
      </c>
      <c r="R13" s="247">
        <f t="shared" si="20"/>
        <v>0</v>
      </c>
      <c r="S13" s="247">
        <f t="shared" si="20"/>
        <v>0</v>
      </c>
      <c r="T13" s="247">
        <f t="shared" si="20"/>
        <v>0</v>
      </c>
      <c r="U13" s="247">
        <f t="shared" si="20"/>
        <v>0</v>
      </c>
      <c r="V13" s="248">
        <f>+V21</f>
        <v>0</v>
      </c>
      <c r="W13" s="246" t="s">
        <v>200</v>
      </c>
      <c r="X13" s="245"/>
      <c r="Y13" s="245"/>
      <c r="Z13" s="245"/>
      <c r="AA13" s="247">
        <f>+AA21</f>
        <v>0</v>
      </c>
      <c r="AB13" s="247">
        <f>+AB21</f>
        <v>0</v>
      </c>
      <c r="AC13" s="247">
        <f t="shared" ref="AC13:AE13" si="21">+AC21</f>
        <v>0</v>
      </c>
      <c r="AD13" s="247">
        <f t="shared" si="21"/>
        <v>0</v>
      </c>
      <c r="AE13" s="247">
        <f t="shared" si="21"/>
        <v>0</v>
      </c>
      <c r="AF13" s="247">
        <f>+AF21</f>
        <v>0</v>
      </c>
      <c r="AG13" s="248">
        <f>+AG21</f>
        <v>0</v>
      </c>
      <c r="AH13" s="246" t="s">
        <v>200</v>
      </c>
      <c r="AI13" s="245"/>
      <c r="AJ13" s="245"/>
      <c r="AK13" s="245"/>
      <c r="AL13" s="247">
        <f>+AL21</f>
        <v>0</v>
      </c>
      <c r="AM13" s="247">
        <f>+AM21</f>
        <v>0</v>
      </c>
      <c r="AN13" s="247">
        <f>+AN21</f>
        <v>0</v>
      </c>
      <c r="AO13" s="247">
        <f t="shared" ref="AO13:AX13" si="22">+AO21</f>
        <v>0</v>
      </c>
      <c r="AP13" s="247">
        <f>+AP21</f>
        <v>0</v>
      </c>
      <c r="AQ13" s="247">
        <f>+AQ21</f>
        <v>0</v>
      </c>
      <c r="AR13" s="248">
        <f>+AR21</f>
        <v>0</v>
      </c>
      <c r="AS13" s="246" t="s">
        <v>200</v>
      </c>
      <c r="AT13" s="245"/>
      <c r="AU13" s="245"/>
      <c r="AV13" s="245"/>
      <c r="AW13" s="247">
        <f t="shared" si="22"/>
        <v>0</v>
      </c>
      <c r="AX13" s="247">
        <f t="shared" si="22"/>
        <v>0</v>
      </c>
      <c r="AY13" s="247">
        <f>+AY21</f>
        <v>0</v>
      </c>
      <c r="AZ13" s="247">
        <f>+AZ21</f>
        <v>0</v>
      </c>
      <c r="BA13" s="247">
        <f>+BA21</f>
        <v>0</v>
      </c>
      <c r="BB13" s="247">
        <f>+BB21</f>
        <v>0</v>
      </c>
      <c r="BC13" s="247">
        <f>+BC21</f>
        <v>0</v>
      </c>
      <c r="BD13" s="165">
        <f>SUM(BD21)</f>
        <v>0</v>
      </c>
      <c r="BE13" s="96"/>
    </row>
    <row r="14" spans="1:59" s="40" customFormat="1" ht="15" customHeight="1">
      <c r="A14" s="245"/>
      <c r="B14" s="245"/>
      <c r="C14" s="245"/>
      <c r="D14" s="245"/>
      <c r="E14" s="247"/>
      <c r="F14" s="181">
        <f>SUM(F22)</f>
        <v>20000000</v>
      </c>
      <c r="G14" s="181">
        <f>SUM(G22)</f>
        <v>3600000</v>
      </c>
      <c r="H14" s="247"/>
      <c r="I14" s="247"/>
      <c r="J14" s="247"/>
      <c r="K14" s="248"/>
      <c r="L14" s="246"/>
      <c r="M14" s="245"/>
      <c r="N14" s="245"/>
      <c r="O14" s="245"/>
      <c r="P14" s="247"/>
      <c r="Q14" s="247"/>
      <c r="R14" s="247"/>
      <c r="S14" s="247"/>
      <c r="T14" s="247"/>
      <c r="U14" s="247"/>
      <c r="V14" s="248"/>
      <c r="W14" s="246"/>
      <c r="X14" s="245"/>
      <c r="Y14" s="245"/>
      <c r="Z14" s="245"/>
      <c r="AA14" s="247"/>
      <c r="AB14" s="247"/>
      <c r="AC14" s="247"/>
      <c r="AD14" s="247"/>
      <c r="AE14" s="247"/>
      <c r="AF14" s="247"/>
      <c r="AG14" s="248"/>
      <c r="AH14" s="246"/>
      <c r="AI14" s="245"/>
      <c r="AJ14" s="245"/>
      <c r="AK14" s="245"/>
      <c r="AL14" s="247"/>
      <c r="AM14" s="247"/>
      <c r="AN14" s="247"/>
      <c r="AO14" s="247"/>
      <c r="AP14" s="247"/>
      <c r="AQ14" s="247"/>
      <c r="AR14" s="248"/>
      <c r="AS14" s="246"/>
      <c r="AT14" s="245"/>
      <c r="AU14" s="245"/>
      <c r="AV14" s="245"/>
      <c r="AW14" s="247"/>
      <c r="AX14" s="247"/>
      <c r="AY14" s="247"/>
      <c r="AZ14" s="247"/>
      <c r="BA14" s="247"/>
      <c r="BB14" s="247"/>
      <c r="BC14" s="247"/>
      <c r="BD14" s="165">
        <f>SUM(BD16)</f>
        <v>0</v>
      </c>
      <c r="BE14" s="96"/>
    </row>
    <row r="15" spans="1:59" s="43" customFormat="1" ht="15" customHeight="1">
      <c r="A15" s="253" t="s">
        <v>202</v>
      </c>
      <c r="B15" s="253"/>
      <c r="C15" s="253"/>
      <c r="D15" s="253"/>
      <c r="E15" s="250">
        <f t="shared" ref="E15:K15" si="23">+E17+E21</f>
        <v>82400544</v>
      </c>
      <c r="F15" s="183">
        <f t="shared" si="23"/>
        <v>954208</v>
      </c>
      <c r="G15" s="183">
        <f>SUM(G17,G21)</f>
        <v>776120</v>
      </c>
      <c r="H15" s="250">
        <f t="shared" si="23"/>
        <v>130000</v>
      </c>
      <c r="I15" s="250">
        <f t="shared" si="23"/>
        <v>0</v>
      </c>
      <c r="J15" s="250">
        <f t="shared" si="23"/>
        <v>0</v>
      </c>
      <c r="K15" s="251">
        <f t="shared" si="23"/>
        <v>0</v>
      </c>
      <c r="L15" s="254" t="s">
        <v>202</v>
      </c>
      <c r="M15" s="253"/>
      <c r="N15" s="253"/>
      <c r="O15" s="253"/>
      <c r="P15" s="250">
        <f>+P17+P21</f>
        <v>0</v>
      </c>
      <c r="Q15" s="250">
        <f t="shared" ref="Q15:U15" si="24">+Q17+Q21</f>
        <v>0</v>
      </c>
      <c r="R15" s="250">
        <f t="shared" si="24"/>
        <v>0</v>
      </c>
      <c r="S15" s="250">
        <f t="shared" si="24"/>
        <v>0</v>
      </c>
      <c r="T15" s="250">
        <f t="shared" si="24"/>
        <v>0</v>
      </c>
      <c r="U15" s="250">
        <f t="shared" si="24"/>
        <v>0</v>
      </c>
      <c r="V15" s="251">
        <f>+V17+V21</f>
        <v>0</v>
      </c>
      <c r="W15" s="254" t="s">
        <v>202</v>
      </c>
      <c r="X15" s="253"/>
      <c r="Y15" s="253"/>
      <c r="Z15" s="253"/>
      <c r="AA15" s="250">
        <f>+AA17+AA21</f>
        <v>0</v>
      </c>
      <c r="AB15" s="250">
        <f>+AB17+AB21</f>
        <v>0</v>
      </c>
      <c r="AC15" s="250">
        <f t="shared" ref="AC15:AE15" si="25">+AC17+AC21</f>
        <v>0</v>
      </c>
      <c r="AD15" s="250">
        <f t="shared" si="25"/>
        <v>0</v>
      </c>
      <c r="AE15" s="250">
        <f t="shared" si="25"/>
        <v>0</v>
      </c>
      <c r="AF15" s="250">
        <f>+AF17+AF21</f>
        <v>0</v>
      </c>
      <c r="AG15" s="251">
        <f>+AG17+AG21</f>
        <v>0</v>
      </c>
      <c r="AH15" s="254" t="s">
        <v>202</v>
      </c>
      <c r="AI15" s="253"/>
      <c r="AJ15" s="253"/>
      <c r="AK15" s="253"/>
      <c r="AL15" s="250">
        <f>+AL17+AL21</f>
        <v>0</v>
      </c>
      <c r="AM15" s="250">
        <f>+AM17+AM21</f>
        <v>0</v>
      </c>
      <c r="AN15" s="250">
        <f>+AN17+AN21</f>
        <v>0</v>
      </c>
      <c r="AO15" s="250">
        <f t="shared" ref="AO15:AX15" si="26">+AO17+AO21</f>
        <v>0</v>
      </c>
      <c r="AP15" s="250">
        <f>+AP17+AP21</f>
        <v>0</v>
      </c>
      <c r="AQ15" s="250">
        <f>+AQ17+AQ21</f>
        <v>0</v>
      </c>
      <c r="AR15" s="251">
        <f>+AR17+AR21</f>
        <v>0</v>
      </c>
      <c r="AS15" s="254" t="s">
        <v>202</v>
      </c>
      <c r="AT15" s="253"/>
      <c r="AU15" s="253"/>
      <c r="AV15" s="253"/>
      <c r="AW15" s="250">
        <f t="shared" si="26"/>
        <v>0</v>
      </c>
      <c r="AX15" s="250">
        <f t="shared" si="26"/>
        <v>0</v>
      </c>
      <c r="AY15" s="250">
        <f>+AY17+AY21</f>
        <v>0</v>
      </c>
      <c r="AZ15" s="250">
        <f>+AZ17+AZ21</f>
        <v>0</v>
      </c>
      <c r="BA15" s="250">
        <f>+BA17+BA21</f>
        <v>0</v>
      </c>
      <c r="BB15" s="250">
        <f>+BB17+BB21</f>
        <v>0</v>
      </c>
      <c r="BC15" s="250">
        <f>+BC17+BC21</f>
        <v>0</v>
      </c>
      <c r="BD15" s="164">
        <f>SUM(BD17,BD21)</f>
        <v>0</v>
      </c>
      <c r="BE15" s="155"/>
    </row>
    <row r="16" spans="1:59" s="43" customFormat="1" ht="15" customHeight="1">
      <c r="A16" s="253"/>
      <c r="B16" s="253"/>
      <c r="C16" s="253"/>
      <c r="D16" s="253"/>
      <c r="E16" s="250"/>
      <c r="F16" s="183">
        <f>SUM(F22)</f>
        <v>20000000</v>
      </c>
      <c r="G16" s="183">
        <f>SUM(G22)</f>
        <v>3600000</v>
      </c>
      <c r="H16" s="250"/>
      <c r="I16" s="250"/>
      <c r="J16" s="250"/>
      <c r="K16" s="251"/>
      <c r="L16" s="254"/>
      <c r="M16" s="253"/>
      <c r="N16" s="253"/>
      <c r="O16" s="253"/>
      <c r="P16" s="250"/>
      <c r="Q16" s="250"/>
      <c r="R16" s="250"/>
      <c r="S16" s="250"/>
      <c r="T16" s="250"/>
      <c r="U16" s="250"/>
      <c r="V16" s="251"/>
      <c r="W16" s="254"/>
      <c r="X16" s="253"/>
      <c r="Y16" s="253"/>
      <c r="Z16" s="253"/>
      <c r="AA16" s="250"/>
      <c r="AB16" s="250"/>
      <c r="AC16" s="250"/>
      <c r="AD16" s="250"/>
      <c r="AE16" s="250"/>
      <c r="AF16" s="250"/>
      <c r="AG16" s="251"/>
      <c r="AH16" s="254"/>
      <c r="AI16" s="253"/>
      <c r="AJ16" s="253"/>
      <c r="AK16" s="253"/>
      <c r="AL16" s="250"/>
      <c r="AM16" s="250"/>
      <c r="AN16" s="250"/>
      <c r="AO16" s="250"/>
      <c r="AP16" s="250"/>
      <c r="AQ16" s="250"/>
      <c r="AR16" s="251"/>
      <c r="AS16" s="254"/>
      <c r="AT16" s="253"/>
      <c r="AU16" s="253"/>
      <c r="AV16" s="253"/>
      <c r="AW16" s="250"/>
      <c r="AX16" s="250"/>
      <c r="AY16" s="250"/>
      <c r="AZ16" s="250"/>
      <c r="BA16" s="250"/>
      <c r="BB16" s="250"/>
      <c r="BC16" s="250"/>
      <c r="BD16" s="164">
        <f>SUM(BD22)</f>
        <v>0</v>
      </c>
      <c r="BE16" s="155"/>
    </row>
    <row r="17" spans="1:61" s="40" customFormat="1" ht="15" customHeight="1">
      <c r="A17" s="245" t="s">
        <v>203</v>
      </c>
      <c r="B17" s="245"/>
      <c r="C17" s="245"/>
      <c r="D17" s="245"/>
      <c r="E17" s="181">
        <f>SUM(E19,E18,E20)</f>
        <v>750674</v>
      </c>
      <c r="F17" s="181">
        <f t="shared" ref="F17:K17" si="27">SUM(F19,F18,F20)</f>
        <v>281808</v>
      </c>
      <c r="G17" s="181">
        <f t="shared" si="27"/>
        <v>276120</v>
      </c>
      <c r="H17" s="181">
        <f t="shared" si="27"/>
        <v>130000</v>
      </c>
      <c r="I17" s="92">
        <f t="shared" si="27"/>
        <v>0</v>
      </c>
      <c r="J17" s="92">
        <f t="shared" si="27"/>
        <v>0</v>
      </c>
      <c r="K17" s="44">
        <f t="shared" si="27"/>
        <v>0</v>
      </c>
      <c r="L17" s="246" t="s">
        <v>203</v>
      </c>
      <c r="M17" s="245"/>
      <c r="N17" s="245"/>
      <c r="O17" s="245"/>
      <c r="P17" s="92">
        <f>SUM(P19,P18,P20)</f>
        <v>0</v>
      </c>
      <c r="Q17" s="38">
        <f>SUM(Q18,Q19,Q20)</f>
        <v>0</v>
      </c>
      <c r="R17" s="92">
        <f t="shared" ref="R17:U17" si="28">SUM(R18,R19,R20)</f>
        <v>0</v>
      </c>
      <c r="S17" s="92">
        <f t="shared" si="28"/>
        <v>0</v>
      </c>
      <c r="T17" s="92">
        <f t="shared" si="28"/>
        <v>0</v>
      </c>
      <c r="U17" s="92">
        <f t="shared" si="28"/>
        <v>0</v>
      </c>
      <c r="V17" s="44">
        <f>SUM(V18,V19,V20)</f>
        <v>0</v>
      </c>
      <c r="W17" s="246" t="s">
        <v>203</v>
      </c>
      <c r="X17" s="245"/>
      <c r="Y17" s="245"/>
      <c r="Z17" s="245"/>
      <c r="AA17" s="92">
        <f>SUM(AA18,AA19,AA20)</f>
        <v>0</v>
      </c>
      <c r="AB17" s="92">
        <f>SUM(AB18,AB19,AB20)</f>
        <v>0</v>
      </c>
      <c r="AC17" s="38">
        <f>SUM(AC18,AC19,AC20)</f>
        <v>0</v>
      </c>
      <c r="AD17" s="92">
        <f t="shared" ref="AD17:AE17" si="29">SUM(AD18,AD19,AD20)</f>
        <v>0</v>
      </c>
      <c r="AE17" s="92">
        <f t="shared" si="29"/>
        <v>0</v>
      </c>
      <c r="AF17" s="92">
        <f>SUM(AF18,AF19,AF20)</f>
        <v>0</v>
      </c>
      <c r="AG17" s="44">
        <f>SUM(AG18,AG19,AG20)</f>
        <v>0</v>
      </c>
      <c r="AH17" s="246" t="s">
        <v>203</v>
      </c>
      <c r="AI17" s="245"/>
      <c r="AJ17" s="245"/>
      <c r="AK17" s="245"/>
      <c r="AL17" s="92">
        <f>SUM(AL18,AL19,AL20)</f>
        <v>0</v>
      </c>
      <c r="AM17" s="92">
        <f>SUM(AM18,AM19,AM20)</f>
        <v>0</v>
      </c>
      <c r="AN17" s="92">
        <f>SUM(AN18,AN19,AN20)</f>
        <v>0</v>
      </c>
      <c r="AO17" s="38">
        <f>SUM(AO19,AO18,AO20)</f>
        <v>0</v>
      </c>
      <c r="AP17" s="92">
        <f>SUM(AP19,AP18,AP20)</f>
        <v>0</v>
      </c>
      <c r="AQ17" s="92">
        <f>SUM(AQ19,AQ18,AQ20)</f>
        <v>0</v>
      </c>
      <c r="AR17" s="44">
        <f>SUM(AR19,AR18,AR20)</f>
        <v>0</v>
      </c>
      <c r="AS17" s="246" t="s">
        <v>203</v>
      </c>
      <c r="AT17" s="245"/>
      <c r="AU17" s="245"/>
      <c r="AV17" s="245"/>
      <c r="AW17" s="92">
        <f t="shared" ref="AW17:AY17" si="30">SUM(AW19,AW18,AW20)</f>
        <v>0</v>
      </c>
      <c r="AX17" s="92">
        <f t="shared" si="30"/>
        <v>0</v>
      </c>
      <c r="AY17" s="92">
        <f t="shared" si="30"/>
        <v>0</v>
      </c>
      <c r="AZ17" s="92">
        <f>SUM(AZ19,AZ18,AZ20)</f>
        <v>0</v>
      </c>
      <c r="BA17" s="38">
        <f>SUM(BA19,BA18,BA20)</f>
        <v>0</v>
      </c>
      <c r="BB17" s="92">
        <f>SUM(BB19,BB18,BB20)</f>
        <v>0</v>
      </c>
      <c r="BC17" s="92">
        <f>SUM(BC19,BC18,BC20)</f>
        <v>0</v>
      </c>
      <c r="BD17" s="44">
        <f t="shared" ref="BD17" si="31">SUM(BD19,BD18,BD20)</f>
        <v>0</v>
      </c>
      <c r="BE17" s="96"/>
    </row>
    <row r="18" spans="1:61" s="40" customFormat="1" ht="27" customHeight="1">
      <c r="A18" s="157" t="s">
        <v>204</v>
      </c>
      <c r="B18" s="45" t="s">
        <v>205</v>
      </c>
      <c r="C18" s="46">
        <v>2010</v>
      </c>
      <c r="D18" s="47">
        <v>2012</v>
      </c>
      <c r="E18" s="178">
        <v>77581</v>
      </c>
      <c r="F18" s="49">
        <v>25269</v>
      </c>
      <c r="G18" s="49">
        <v>0</v>
      </c>
      <c r="H18" s="49">
        <v>0</v>
      </c>
      <c r="I18" s="49">
        <v>0</v>
      </c>
      <c r="J18" s="49">
        <v>0</v>
      </c>
      <c r="K18" s="73">
        <v>0</v>
      </c>
      <c r="L18" s="170" t="s">
        <v>204</v>
      </c>
      <c r="M18" s="45" t="s">
        <v>205</v>
      </c>
      <c r="N18" s="158">
        <v>2010</v>
      </c>
      <c r="O18" s="159">
        <v>2012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73">
        <v>0</v>
      </c>
      <c r="W18" s="170" t="s">
        <v>204</v>
      </c>
      <c r="X18" s="45" t="s">
        <v>205</v>
      </c>
      <c r="Y18" s="158">
        <v>2010</v>
      </c>
      <c r="Z18" s="159">
        <v>2012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73">
        <v>0</v>
      </c>
      <c r="AH18" s="170" t="s">
        <v>204</v>
      </c>
      <c r="AI18" s="45" t="s">
        <v>205</v>
      </c>
      <c r="AJ18" s="158">
        <v>2010</v>
      </c>
      <c r="AK18" s="159">
        <v>2012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73">
        <v>0</v>
      </c>
      <c r="AS18" s="170" t="s">
        <v>204</v>
      </c>
      <c r="AT18" s="45" t="s">
        <v>205</v>
      </c>
      <c r="AU18" s="158">
        <v>2010</v>
      </c>
      <c r="AV18" s="159">
        <v>2012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166">
        <v>0</v>
      </c>
      <c r="BE18" s="96"/>
    </row>
    <row r="19" spans="1:61" s="40" customFormat="1" ht="27" customHeight="1">
      <c r="A19" s="179" t="s">
        <v>206</v>
      </c>
      <c r="B19" s="45" t="s">
        <v>207</v>
      </c>
      <c r="C19" s="175">
        <v>2011</v>
      </c>
      <c r="D19" s="177">
        <v>2013</v>
      </c>
      <c r="E19" s="178">
        <v>80593</v>
      </c>
      <c r="F19" s="49">
        <v>54039</v>
      </c>
      <c r="G19" s="49">
        <v>16120</v>
      </c>
      <c r="H19" s="49">
        <v>0</v>
      </c>
      <c r="I19" s="49">
        <v>0</v>
      </c>
      <c r="J19" s="49">
        <v>0</v>
      </c>
      <c r="K19" s="73">
        <v>0</v>
      </c>
      <c r="L19" s="170" t="s">
        <v>206</v>
      </c>
      <c r="M19" s="45" t="s">
        <v>207</v>
      </c>
      <c r="N19" s="158">
        <v>2011</v>
      </c>
      <c r="O19" s="159">
        <v>2013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73">
        <v>0</v>
      </c>
      <c r="W19" s="170" t="s">
        <v>206</v>
      </c>
      <c r="X19" s="45" t="s">
        <v>207</v>
      </c>
      <c r="Y19" s="158">
        <v>2011</v>
      </c>
      <c r="Z19" s="159">
        <v>2013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73">
        <v>0</v>
      </c>
      <c r="AH19" s="170" t="s">
        <v>206</v>
      </c>
      <c r="AI19" s="45" t="s">
        <v>207</v>
      </c>
      <c r="AJ19" s="158">
        <v>2011</v>
      </c>
      <c r="AK19" s="159">
        <v>2013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73">
        <v>0</v>
      </c>
      <c r="AS19" s="170" t="s">
        <v>206</v>
      </c>
      <c r="AT19" s="45" t="s">
        <v>207</v>
      </c>
      <c r="AU19" s="158">
        <v>2011</v>
      </c>
      <c r="AV19" s="159">
        <v>2013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166">
        <v>0</v>
      </c>
      <c r="BE19" s="96"/>
    </row>
    <row r="20" spans="1:61" s="98" customFormat="1" ht="27" customHeight="1">
      <c r="A20" s="179" t="s">
        <v>235</v>
      </c>
      <c r="B20" s="45" t="s">
        <v>253</v>
      </c>
      <c r="C20" s="175">
        <v>2012</v>
      </c>
      <c r="D20" s="177">
        <v>2014</v>
      </c>
      <c r="E20" s="178">
        <v>592500</v>
      </c>
      <c r="F20" s="49">
        <v>202500</v>
      </c>
      <c r="G20" s="49">
        <v>260000</v>
      </c>
      <c r="H20" s="49">
        <v>130000</v>
      </c>
      <c r="I20" s="49">
        <v>0</v>
      </c>
      <c r="J20" s="49">
        <v>0</v>
      </c>
      <c r="K20" s="73">
        <v>0</v>
      </c>
      <c r="L20" s="176" t="s">
        <v>235</v>
      </c>
      <c r="M20" s="45" t="s">
        <v>236</v>
      </c>
      <c r="N20" s="175">
        <v>2012</v>
      </c>
      <c r="O20" s="177">
        <v>2014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73">
        <v>0</v>
      </c>
      <c r="W20" s="176" t="s">
        <v>235</v>
      </c>
      <c r="X20" s="45" t="s">
        <v>253</v>
      </c>
      <c r="Y20" s="175">
        <v>2012</v>
      </c>
      <c r="Z20" s="177">
        <v>2014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73">
        <v>0</v>
      </c>
      <c r="AH20" s="176" t="s">
        <v>235</v>
      </c>
      <c r="AI20" s="45" t="s">
        <v>253</v>
      </c>
      <c r="AJ20" s="175">
        <v>2012</v>
      </c>
      <c r="AK20" s="177">
        <v>2014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73">
        <v>0</v>
      </c>
      <c r="AS20" s="176" t="s">
        <v>235</v>
      </c>
      <c r="AT20" s="45" t="s">
        <v>253</v>
      </c>
      <c r="AU20" s="175">
        <v>2012</v>
      </c>
      <c r="AV20" s="177">
        <v>2014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166">
        <v>0</v>
      </c>
      <c r="BE20" s="156"/>
    </row>
    <row r="21" spans="1:61" s="40" customFormat="1" ht="15" customHeight="1">
      <c r="A21" s="245" t="s">
        <v>208</v>
      </c>
      <c r="B21" s="245"/>
      <c r="C21" s="245"/>
      <c r="D21" s="245"/>
      <c r="E21" s="247">
        <f>+E23</f>
        <v>81649870</v>
      </c>
      <c r="F21" s="181">
        <f>SUM(F23)</f>
        <v>672400</v>
      </c>
      <c r="G21" s="181">
        <f>SUM(G23)</f>
        <v>500000</v>
      </c>
      <c r="H21" s="247">
        <f>SUM(H23:H24)</f>
        <v>0</v>
      </c>
      <c r="I21" s="247">
        <f>SUM(I23:I24)</f>
        <v>0</v>
      </c>
      <c r="J21" s="247">
        <f>SUM(J23:J24)</f>
        <v>0</v>
      </c>
      <c r="K21" s="248">
        <f>SUM(K23:K24)</f>
        <v>0</v>
      </c>
      <c r="L21" s="246" t="s">
        <v>208</v>
      </c>
      <c r="M21" s="245"/>
      <c r="N21" s="245"/>
      <c r="O21" s="245"/>
      <c r="P21" s="247">
        <f>SUM(P23:P24)</f>
        <v>0</v>
      </c>
      <c r="Q21" s="247">
        <f t="shared" ref="Q21:U21" si="32">SUM(Q23:Q24)</f>
        <v>0</v>
      </c>
      <c r="R21" s="247">
        <f t="shared" si="32"/>
        <v>0</v>
      </c>
      <c r="S21" s="247">
        <f t="shared" si="32"/>
        <v>0</v>
      </c>
      <c r="T21" s="247">
        <f t="shared" si="32"/>
        <v>0</v>
      </c>
      <c r="U21" s="247">
        <f t="shared" si="32"/>
        <v>0</v>
      </c>
      <c r="V21" s="248">
        <f>SUM(V23:V24)</f>
        <v>0</v>
      </c>
      <c r="W21" s="246" t="s">
        <v>208</v>
      </c>
      <c r="X21" s="245"/>
      <c r="Y21" s="245"/>
      <c r="Z21" s="245"/>
      <c r="AA21" s="247">
        <f>SUM(AA23:AA24)</f>
        <v>0</v>
      </c>
      <c r="AB21" s="247">
        <f>SUM(AB23:AB24)</f>
        <v>0</v>
      </c>
      <c r="AC21" s="247">
        <f t="shared" ref="AC21:AE21" si="33">SUM(AC23:AC24)</f>
        <v>0</v>
      </c>
      <c r="AD21" s="247">
        <f t="shared" si="33"/>
        <v>0</v>
      </c>
      <c r="AE21" s="247">
        <f t="shared" si="33"/>
        <v>0</v>
      </c>
      <c r="AF21" s="247">
        <f>SUM(AF23:AF24)</f>
        <v>0</v>
      </c>
      <c r="AG21" s="248">
        <f>SUM(AG23:AG24)</f>
        <v>0</v>
      </c>
      <c r="AH21" s="246" t="s">
        <v>208</v>
      </c>
      <c r="AI21" s="245"/>
      <c r="AJ21" s="245"/>
      <c r="AK21" s="245"/>
      <c r="AL21" s="247">
        <f>SUM(AL23:AL24)</f>
        <v>0</v>
      </c>
      <c r="AM21" s="247">
        <f>SUM(AM23:AM24)</f>
        <v>0</v>
      </c>
      <c r="AN21" s="247">
        <f>SUM(AN23:AN24)</f>
        <v>0</v>
      </c>
      <c r="AO21" s="247">
        <f t="shared" ref="AO21:AX21" si="34">SUM(AO23:AO24)</f>
        <v>0</v>
      </c>
      <c r="AP21" s="247">
        <f>SUM(AP23:AP24)</f>
        <v>0</v>
      </c>
      <c r="AQ21" s="247">
        <f>SUM(AQ23:AQ24)</f>
        <v>0</v>
      </c>
      <c r="AR21" s="248">
        <f>SUM(AR23:AR24)</f>
        <v>0</v>
      </c>
      <c r="AS21" s="246" t="s">
        <v>208</v>
      </c>
      <c r="AT21" s="245"/>
      <c r="AU21" s="245"/>
      <c r="AV21" s="245"/>
      <c r="AW21" s="247">
        <f t="shared" si="34"/>
        <v>0</v>
      </c>
      <c r="AX21" s="247">
        <f t="shared" si="34"/>
        <v>0</v>
      </c>
      <c r="AY21" s="247">
        <f>SUM(AY23:AY24)</f>
        <v>0</v>
      </c>
      <c r="AZ21" s="247">
        <f>SUM(AZ23:AZ24)</f>
        <v>0</v>
      </c>
      <c r="BA21" s="247">
        <f>SUM(BA23:BA24)</f>
        <v>0</v>
      </c>
      <c r="BB21" s="247">
        <f>SUM(BB23:BB24)</f>
        <v>0</v>
      </c>
      <c r="BC21" s="247">
        <f>SUM(BC23:BC24)</f>
        <v>0</v>
      </c>
      <c r="BD21" s="44">
        <f>SUM(BD23)</f>
        <v>0</v>
      </c>
      <c r="BE21" s="96"/>
    </row>
    <row r="22" spans="1:61" s="40" customFormat="1" ht="15" customHeight="1">
      <c r="A22" s="245"/>
      <c r="B22" s="245"/>
      <c r="C22" s="245"/>
      <c r="D22" s="245"/>
      <c r="E22" s="247"/>
      <c r="F22" s="181">
        <f>SUM(F24)</f>
        <v>20000000</v>
      </c>
      <c r="G22" s="181">
        <f>SUM(G24)</f>
        <v>3600000</v>
      </c>
      <c r="H22" s="247"/>
      <c r="I22" s="247"/>
      <c r="J22" s="247"/>
      <c r="K22" s="248"/>
      <c r="L22" s="246"/>
      <c r="M22" s="245"/>
      <c r="N22" s="245"/>
      <c r="O22" s="245"/>
      <c r="P22" s="247"/>
      <c r="Q22" s="247"/>
      <c r="R22" s="247"/>
      <c r="S22" s="247"/>
      <c r="T22" s="247"/>
      <c r="U22" s="247"/>
      <c r="V22" s="248"/>
      <c r="W22" s="246"/>
      <c r="X22" s="245"/>
      <c r="Y22" s="245"/>
      <c r="Z22" s="245"/>
      <c r="AA22" s="247"/>
      <c r="AB22" s="247"/>
      <c r="AC22" s="247"/>
      <c r="AD22" s="247"/>
      <c r="AE22" s="247"/>
      <c r="AF22" s="247"/>
      <c r="AG22" s="248"/>
      <c r="AH22" s="246"/>
      <c r="AI22" s="245"/>
      <c r="AJ22" s="245"/>
      <c r="AK22" s="245"/>
      <c r="AL22" s="247"/>
      <c r="AM22" s="247"/>
      <c r="AN22" s="247"/>
      <c r="AO22" s="247"/>
      <c r="AP22" s="247"/>
      <c r="AQ22" s="247"/>
      <c r="AR22" s="248"/>
      <c r="AS22" s="246"/>
      <c r="AT22" s="245"/>
      <c r="AU22" s="245"/>
      <c r="AV22" s="245"/>
      <c r="AW22" s="247"/>
      <c r="AX22" s="247"/>
      <c r="AY22" s="247"/>
      <c r="AZ22" s="247"/>
      <c r="BA22" s="247"/>
      <c r="BB22" s="247"/>
      <c r="BC22" s="247"/>
      <c r="BD22" s="44">
        <f>SUM(BD24)</f>
        <v>0</v>
      </c>
      <c r="BE22" s="96"/>
    </row>
    <row r="23" spans="1:61" s="40" customFormat="1" ht="20.25" customHeight="1">
      <c r="A23" s="255" t="s">
        <v>209</v>
      </c>
      <c r="B23" s="256" t="s">
        <v>210</v>
      </c>
      <c r="C23" s="256">
        <v>2004</v>
      </c>
      <c r="D23" s="256">
        <v>2013</v>
      </c>
      <c r="E23" s="257">
        <v>81649870</v>
      </c>
      <c r="F23" s="48">
        <v>672400</v>
      </c>
      <c r="G23" s="48">
        <v>500000</v>
      </c>
      <c r="H23" s="257">
        <v>0</v>
      </c>
      <c r="I23" s="257">
        <v>0</v>
      </c>
      <c r="J23" s="257">
        <v>0</v>
      </c>
      <c r="K23" s="258">
        <v>0</v>
      </c>
      <c r="L23" s="259" t="s">
        <v>209</v>
      </c>
      <c r="M23" s="256" t="s">
        <v>210</v>
      </c>
      <c r="N23" s="256">
        <v>2004</v>
      </c>
      <c r="O23" s="256">
        <v>2013</v>
      </c>
      <c r="P23" s="257">
        <v>0</v>
      </c>
      <c r="Q23" s="257">
        <v>0</v>
      </c>
      <c r="R23" s="257">
        <v>0</v>
      </c>
      <c r="S23" s="257">
        <v>0</v>
      </c>
      <c r="T23" s="257">
        <v>0</v>
      </c>
      <c r="U23" s="257">
        <v>0</v>
      </c>
      <c r="V23" s="258">
        <v>0</v>
      </c>
      <c r="W23" s="259" t="s">
        <v>209</v>
      </c>
      <c r="X23" s="256" t="s">
        <v>210</v>
      </c>
      <c r="Y23" s="256">
        <v>2004</v>
      </c>
      <c r="Z23" s="256">
        <v>2013</v>
      </c>
      <c r="AA23" s="257">
        <v>0</v>
      </c>
      <c r="AB23" s="257">
        <v>0</v>
      </c>
      <c r="AC23" s="257">
        <v>0</v>
      </c>
      <c r="AD23" s="257">
        <v>0</v>
      </c>
      <c r="AE23" s="257">
        <v>0</v>
      </c>
      <c r="AF23" s="257">
        <v>0</v>
      </c>
      <c r="AG23" s="258">
        <v>0</v>
      </c>
      <c r="AH23" s="259" t="s">
        <v>209</v>
      </c>
      <c r="AI23" s="256" t="s">
        <v>210</v>
      </c>
      <c r="AJ23" s="256">
        <v>2004</v>
      </c>
      <c r="AK23" s="256">
        <v>2013</v>
      </c>
      <c r="AL23" s="257">
        <v>0</v>
      </c>
      <c r="AM23" s="257">
        <v>0</v>
      </c>
      <c r="AN23" s="257">
        <v>0</v>
      </c>
      <c r="AO23" s="257">
        <v>0</v>
      </c>
      <c r="AP23" s="257">
        <v>0</v>
      </c>
      <c r="AQ23" s="257">
        <v>0</v>
      </c>
      <c r="AR23" s="258">
        <v>0</v>
      </c>
      <c r="AS23" s="259" t="s">
        <v>209</v>
      </c>
      <c r="AT23" s="256" t="s">
        <v>210</v>
      </c>
      <c r="AU23" s="256">
        <v>2004</v>
      </c>
      <c r="AV23" s="256">
        <v>2013</v>
      </c>
      <c r="AW23" s="257">
        <v>0</v>
      </c>
      <c r="AX23" s="257">
        <v>0</v>
      </c>
      <c r="AY23" s="257">
        <v>0</v>
      </c>
      <c r="AZ23" s="257">
        <v>0</v>
      </c>
      <c r="BA23" s="257">
        <v>0</v>
      </c>
      <c r="BB23" s="257">
        <v>0</v>
      </c>
      <c r="BC23" s="257">
        <v>0</v>
      </c>
      <c r="BD23" s="166">
        <v>0</v>
      </c>
      <c r="BE23" s="96"/>
    </row>
    <row r="24" spans="1:61" s="40" customFormat="1" ht="20.25" customHeight="1">
      <c r="A24" s="255"/>
      <c r="B24" s="256"/>
      <c r="C24" s="256"/>
      <c r="D24" s="256"/>
      <c r="E24" s="257"/>
      <c r="F24" s="48">
        <v>20000000</v>
      </c>
      <c r="G24" s="54">
        <v>3600000</v>
      </c>
      <c r="H24" s="257"/>
      <c r="I24" s="257"/>
      <c r="J24" s="257"/>
      <c r="K24" s="258"/>
      <c r="L24" s="259"/>
      <c r="M24" s="256"/>
      <c r="N24" s="256"/>
      <c r="O24" s="256"/>
      <c r="P24" s="257"/>
      <c r="Q24" s="257"/>
      <c r="R24" s="257"/>
      <c r="S24" s="257"/>
      <c r="T24" s="257"/>
      <c r="U24" s="257"/>
      <c r="V24" s="258"/>
      <c r="W24" s="259"/>
      <c r="X24" s="256"/>
      <c r="Y24" s="256"/>
      <c r="Z24" s="256"/>
      <c r="AA24" s="257"/>
      <c r="AB24" s="257"/>
      <c r="AC24" s="257"/>
      <c r="AD24" s="257"/>
      <c r="AE24" s="257"/>
      <c r="AF24" s="257"/>
      <c r="AG24" s="258"/>
      <c r="AH24" s="259"/>
      <c r="AI24" s="256"/>
      <c r="AJ24" s="256"/>
      <c r="AK24" s="256"/>
      <c r="AL24" s="257"/>
      <c r="AM24" s="257"/>
      <c r="AN24" s="257"/>
      <c r="AO24" s="257"/>
      <c r="AP24" s="257"/>
      <c r="AQ24" s="257"/>
      <c r="AR24" s="258"/>
      <c r="AS24" s="259"/>
      <c r="AT24" s="256"/>
      <c r="AU24" s="256"/>
      <c r="AV24" s="256"/>
      <c r="AW24" s="257"/>
      <c r="AX24" s="257"/>
      <c r="AY24" s="257"/>
      <c r="AZ24" s="257"/>
      <c r="BA24" s="257"/>
      <c r="BB24" s="257"/>
      <c r="BC24" s="257"/>
      <c r="BD24" s="167">
        <v>0</v>
      </c>
      <c r="BE24" s="96"/>
    </row>
    <row r="25" spans="1:61" s="37" customFormat="1" ht="19.5" customHeight="1">
      <c r="A25" s="260" t="s">
        <v>211</v>
      </c>
      <c r="B25" s="260"/>
      <c r="C25" s="260"/>
      <c r="D25" s="260"/>
      <c r="E25" s="240">
        <f>+E27+E39</f>
        <v>20760767</v>
      </c>
      <c r="F25" s="35">
        <f t="shared" ref="F25:K25" si="35">SUM(F27,F39)</f>
        <v>1874551</v>
      </c>
      <c r="G25" s="261">
        <f t="shared" si="35"/>
        <v>1047491</v>
      </c>
      <c r="H25" s="240">
        <f t="shared" si="35"/>
        <v>1044600</v>
      </c>
      <c r="I25" s="240">
        <f t="shared" si="35"/>
        <v>1042600</v>
      </c>
      <c r="J25" s="240">
        <f t="shared" si="35"/>
        <v>1042600</v>
      </c>
      <c r="K25" s="242">
        <f t="shared" si="35"/>
        <v>1042600</v>
      </c>
      <c r="L25" s="262" t="s">
        <v>211</v>
      </c>
      <c r="M25" s="260"/>
      <c r="N25" s="260"/>
      <c r="O25" s="260"/>
      <c r="P25" s="240">
        <f t="shared" ref="P25:V25" si="36">SUM(P27,P39)</f>
        <v>1042600</v>
      </c>
      <c r="Q25" s="240">
        <f t="shared" si="36"/>
        <v>1042600</v>
      </c>
      <c r="R25" s="240">
        <f t="shared" si="36"/>
        <v>1042600</v>
      </c>
      <c r="S25" s="240">
        <f t="shared" si="36"/>
        <v>1042600</v>
      </c>
      <c r="T25" s="240">
        <f t="shared" si="36"/>
        <v>1042600</v>
      </c>
      <c r="U25" s="240">
        <f t="shared" si="36"/>
        <v>1042600</v>
      </c>
      <c r="V25" s="242">
        <f t="shared" si="36"/>
        <v>1042600</v>
      </c>
      <c r="W25" s="262" t="s">
        <v>211</v>
      </c>
      <c r="X25" s="260"/>
      <c r="Y25" s="260"/>
      <c r="Z25" s="260"/>
      <c r="AA25" s="240">
        <f t="shared" ref="AA25:AG25" si="37">SUM(AA27,AA39)</f>
        <v>1042600</v>
      </c>
      <c r="AB25" s="240">
        <f t="shared" si="37"/>
        <v>1042600</v>
      </c>
      <c r="AC25" s="240">
        <f t="shared" si="37"/>
        <v>1042600</v>
      </c>
      <c r="AD25" s="240">
        <f t="shared" si="37"/>
        <v>0</v>
      </c>
      <c r="AE25" s="240">
        <f t="shared" si="37"/>
        <v>0</v>
      </c>
      <c r="AF25" s="240">
        <f t="shared" si="37"/>
        <v>0</v>
      </c>
      <c r="AG25" s="242">
        <f t="shared" si="37"/>
        <v>0</v>
      </c>
      <c r="AH25" s="262" t="s">
        <v>211</v>
      </c>
      <c r="AI25" s="260"/>
      <c r="AJ25" s="260"/>
      <c r="AK25" s="260"/>
      <c r="AL25" s="240">
        <f t="shared" ref="AL25:AR25" si="38">SUM(AL27,AL39)</f>
        <v>0</v>
      </c>
      <c r="AM25" s="240">
        <f t="shared" si="38"/>
        <v>0</v>
      </c>
      <c r="AN25" s="240">
        <f t="shared" si="38"/>
        <v>0</v>
      </c>
      <c r="AO25" s="240">
        <f t="shared" si="38"/>
        <v>0</v>
      </c>
      <c r="AP25" s="240">
        <f t="shared" si="38"/>
        <v>0</v>
      </c>
      <c r="AQ25" s="240">
        <f t="shared" si="38"/>
        <v>0</v>
      </c>
      <c r="AR25" s="242">
        <f t="shared" si="38"/>
        <v>0</v>
      </c>
      <c r="AS25" s="262" t="s">
        <v>211</v>
      </c>
      <c r="AT25" s="260"/>
      <c r="AU25" s="260"/>
      <c r="AV25" s="260"/>
      <c r="AW25" s="240">
        <f t="shared" ref="AW25:BD25" si="39">SUM(AW27,AW39)</f>
        <v>0</v>
      </c>
      <c r="AX25" s="240">
        <f t="shared" si="39"/>
        <v>0</v>
      </c>
      <c r="AY25" s="240">
        <f t="shared" si="39"/>
        <v>0</v>
      </c>
      <c r="AZ25" s="240">
        <f t="shared" si="39"/>
        <v>0</v>
      </c>
      <c r="BA25" s="240">
        <f t="shared" si="39"/>
        <v>0</v>
      </c>
      <c r="BB25" s="240">
        <f t="shared" si="39"/>
        <v>0</v>
      </c>
      <c r="BC25" s="240">
        <f t="shared" si="39"/>
        <v>0</v>
      </c>
      <c r="BD25" s="164">
        <f t="shared" si="39"/>
        <v>400957</v>
      </c>
      <c r="BE25" s="154"/>
    </row>
    <row r="26" spans="1:61" s="37" customFormat="1" ht="19.5" customHeight="1">
      <c r="A26" s="260"/>
      <c r="B26" s="260"/>
      <c r="C26" s="260"/>
      <c r="D26" s="260"/>
      <c r="E26" s="240"/>
      <c r="F26" s="35">
        <f>SUM(F40)</f>
        <v>747515</v>
      </c>
      <c r="G26" s="261"/>
      <c r="H26" s="240"/>
      <c r="I26" s="240"/>
      <c r="J26" s="240"/>
      <c r="K26" s="242"/>
      <c r="L26" s="262"/>
      <c r="M26" s="260"/>
      <c r="N26" s="260"/>
      <c r="O26" s="260"/>
      <c r="P26" s="240"/>
      <c r="Q26" s="240"/>
      <c r="R26" s="240"/>
      <c r="S26" s="240"/>
      <c r="T26" s="240"/>
      <c r="U26" s="240"/>
      <c r="V26" s="242"/>
      <c r="W26" s="262"/>
      <c r="X26" s="260"/>
      <c r="Y26" s="260"/>
      <c r="Z26" s="260"/>
      <c r="AA26" s="240"/>
      <c r="AB26" s="240"/>
      <c r="AC26" s="240"/>
      <c r="AD26" s="240"/>
      <c r="AE26" s="240"/>
      <c r="AF26" s="240"/>
      <c r="AG26" s="242"/>
      <c r="AH26" s="262"/>
      <c r="AI26" s="260"/>
      <c r="AJ26" s="260"/>
      <c r="AK26" s="260"/>
      <c r="AL26" s="240"/>
      <c r="AM26" s="240"/>
      <c r="AN26" s="240"/>
      <c r="AO26" s="240"/>
      <c r="AP26" s="240"/>
      <c r="AQ26" s="240"/>
      <c r="AR26" s="242"/>
      <c r="AS26" s="262"/>
      <c r="AT26" s="260"/>
      <c r="AU26" s="260"/>
      <c r="AV26" s="260"/>
      <c r="AW26" s="240"/>
      <c r="AX26" s="240"/>
      <c r="AY26" s="240"/>
      <c r="AZ26" s="240"/>
      <c r="BA26" s="240"/>
      <c r="BB26" s="240"/>
      <c r="BC26" s="240"/>
      <c r="BD26" s="164">
        <f>SUM(BD40)</f>
        <v>115450</v>
      </c>
      <c r="BE26" s="154"/>
      <c r="BF26" s="56"/>
    </row>
    <row r="27" spans="1:61" s="40" customFormat="1" ht="15" customHeight="1">
      <c r="A27" s="245" t="s">
        <v>199</v>
      </c>
      <c r="B27" s="245"/>
      <c r="C27" s="245"/>
      <c r="D27" s="245"/>
      <c r="E27" s="38">
        <f t="shared" ref="E27:K27" si="40">SUM(E28,E29,E31,E35,E37,E30,E36,E38)</f>
        <v>270288</v>
      </c>
      <c r="F27" s="38">
        <f t="shared" si="40"/>
        <v>109766</v>
      </c>
      <c r="G27" s="38">
        <f t="shared" si="40"/>
        <v>4891</v>
      </c>
      <c r="H27" s="38">
        <f t="shared" si="40"/>
        <v>2000</v>
      </c>
      <c r="I27" s="38">
        <f t="shared" si="40"/>
        <v>0</v>
      </c>
      <c r="J27" s="38">
        <f t="shared" si="40"/>
        <v>0</v>
      </c>
      <c r="K27" s="44">
        <f t="shared" si="40"/>
        <v>0</v>
      </c>
      <c r="L27" s="246" t="s">
        <v>199</v>
      </c>
      <c r="M27" s="245"/>
      <c r="N27" s="245"/>
      <c r="O27" s="245"/>
      <c r="P27" s="38">
        <f t="shared" ref="P27:V27" si="41">SUM(P28,P29,P31,P35,P37,P30,P36,P38)</f>
        <v>0</v>
      </c>
      <c r="Q27" s="38">
        <f t="shared" si="41"/>
        <v>0</v>
      </c>
      <c r="R27" s="38">
        <f t="shared" si="41"/>
        <v>0</v>
      </c>
      <c r="S27" s="38">
        <f t="shared" si="41"/>
        <v>0</v>
      </c>
      <c r="T27" s="38">
        <f t="shared" si="41"/>
        <v>0</v>
      </c>
      <c r="U27" s="38">
        <f t="shared" si="41"/>
        <v>0</v>
      </c>
      <c r="V27" s="44">
        <f t="shared" si="41"/>
        <v>0</v>
      </c>
      <c r="W27" s="246" t="s">
        <v>199</v>
      </c>
      <c r="X27" s="245"/>
      <c r="Y27" s="245"/>
      <c r="Z27" s="245"/>
      <c r="AA27" s="38">
        <f t="shared" ref="AA27:AG27" si="42">SUM(AA28,AA29,AA31,AA35,AA37,AA30,AA36,AA38)</f>
        <v>0</v>
      </c>
      <c r="AB27" s="38">
        <f t="shared" si="42"/>
        <v>0</v>
      </c>
      <c r="AC27" s="38">
        <f t="shared" si="42"/>
        <v>0</v>
      </c>
      <c r="AD27" s="38">
        <f t="shared" si="42"/>
        <v>0</v>
      </c>
      <c r="AE27" s="38">
        <f t="shared" si="42"/>
        <v>0</v>
      </c>
      <c r="AF27" s="38">
        <f t="shared" si="42"/>
        <v>0</v>
      </c>
      <c r="AG27" s="44">
        <f t="shared" si="42"/>
        <v>0</v>
      </c>
      <c r="AH27" s="246" t="s">
        <v>199</v>
      </c>
      <c r="AI27" s="245"/>
      <c r="AJ27" s="245"/>
      <c r="AK27" s="245"/>
      <c r="AL27" s="38">
        <f t="shared" ref="AL27:AR27" si="43">SUM(AL28,AL29,AL31,AL35,AL37,AL30,AL36,AL38)</f>
        <v>0</v>
      </c>
      <c r="AM27" s="38">
        <f t="shared" si="43"/>
        <v>0</v>
      </c>
      <c r="AN27" s="38">
        <f t="shared" si="43"/>
        <v>0</v>
      </c>
      <c r="AO27" s="38">
        <f t="shared" si="43"/>
        <v>0</v>
      </c>
      <c r="AP27" s="38">
        <f t="shared" si="43"/>
        <v>0</v>
      </c>
      <c r="AQ27" s="38">
        <f t="shared" si="43"/>
        <v>0</v>
      </c>
      <c r="AR27" s="44">
        <f t="shared" si="43"/>
        <v>0</v>
      </c>
      <c r="AS27" s="246" t="s">
        <v>199</v>
      </c>
      <c r="AT27" s="245"/>
      <c r="AU27" s="245"/>
      <c r="AV27" s="245"/>
      <c r="AW27" s="38">
        <f t="shared" ref="AW27:BD27" si="44">SUM(AW28,AW29,AW31,AW35,AW37,AW30,AW36,AW38)</f>
        <v>0</v>
      </c>
      <c r="AX27" s="38">
        <f t="shared" si="44"/>
        <v>0</v>
      </c>
      <c r="AY27" s="38">
        <f t="shared" si="44"/>
        <v>0</v>
      </c>
      <c r="AZ27" s="38">
        <f t="shared" si="44"/>
        <v>0</v>
      </c>
      <c r="BA27" s="38">
        <f t="shared" si="44"/>
        <v>0</v>
      </c>
      <c r="BB27" s="38">
        <f t="shared" si="44"/>
        <v>0</v>
      </c>
      <c r="BC27" s="38">
        <f t="shared" si="44"/>
        <v>0</v>
      </c>
      <c r="BD27" s="44">
        <f t="shared" si="44"/>
        <v>0</v>
      </c>
      <c r="BE27" s="96"/>
    </row>
    <row r="28" spans="1:61" s="40" customFormat="1" ht="27" customHeight="1">
      <c r="A28" s="57" t="s">
        <v>212</v>
      </c>
      <c r="B28" s="46" t="s">
        <v>210</v>
      </c>
      <c r="C28" s="46">
        <v>2011</v>
      </c>
      <c r="D28" s="46">
        <v>2014</v>
      </c>
      <c r="E28" s="48">
        <v>7900</v>
      </c>
      <c r="F28" s="48">
        <v>2000</v>
      </c>
      <c r="G28" s="49">
        <v>2000</v>
      </c>
      <c r="H28" s="49">
        <v>2000</v>
      </c>
      <c r="I28" s="49">
        <v>0</v>
      </c>
      <c r="J28" s="49">
        <v>0</v>
      </c>
      <c r="K28" s="73">
        <v>0</v>
      </c>
      <c r="L28" s="171" t="s">
        <v>212</v>
      </c>
      <c r="M28" s="158" t="s">
        <v>210</v>
      </c>
      <c r="N28" s="158">
        <v>2011</v>
      </c>
      <c r="O28" s="158">
        <v>2014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73">
        <v>0</v>
      </c>
      <c r="W28" s="171" t="s">
        <v>212</v>
      </c>
      <c r="X28" s="158" t="s">
        <v>210</v>
      </c>
      <c r="Y28" s="158">
        <v>2011</v>
      </c>
      <c r="Z28" s="158">
        <v>2014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73">
        <v>0</v>
      </c>
      <c r="AH28" s="171" t="s">
        <v>212</v>
      </c>
      <c r="AI28" s="158" t="s">
        <v>210</v>
      </c>
      <c r="AJ28" s="158">
        <v>2011</v>
      </c>
      <c r="AK28" s="158">
        <v>2014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73">
        <v>0</v>
      </c>
      <c r="AS28" s="171" t="s">
        <v>212</v>
      </c>
      <c r="AT28" s="158" t="s">
        <v>210</v>
      </c>
      <c r="AU28" s="158">
        <v>2011</v>
      </c>
      <c r="AV28" s="158">
        <v>2014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166">
        <v>0</v>
      </c>
      <c r="BE28" s="96"/>
    </row>
    <row r="29" spans="1:61" s="40" customFormat="1" ht="27" customHeight="1">
      <c r="A29" s="89" t="s">
        <v>213</v>
      </c>
      <c r="B29" s="90" t="s">
        <v>210</v>
      </c>
      <c r="C29" s="90">
        <v>2010</v>
      </c>
      <c r="D29" s="90">
        <v>2012</v>
      </c>
      <c r="E29" s="91">
        <v>150000</v>
      </c>
      <c r="F29" s="91">
        <v>50000</v>
      </c>
      <c r="G29" s="88">
        <v>0</v>
      </c>
      <c r="H29" s="88">
        <v>0</v>
      </c>
      <c r="I29" s="88">
        <v>0</v>
      </c>
      <c r="J29" s="88">
        <v>0</v>
      </c>
      <c r="K29" s="160">
        <v>0</v>
      </c>
      <c r="L29" s="170" t="s">
        <v>213</v>
      </c>
      <c r="M29" s="159" t="s">
        <v>210</v>
      </c>
      <c r="N29" s="159">
        <v>2010</v>
      </c>
      <c r="O29" s="159">
        <v>2012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160">
        <v>0</v>
      </c>
      <c r="W29" s="170" t="s">
        <v>213</v>
      </c>
      <c r="X29" s="159" t="s">
        <v>210</v>
      </c>
      <c r="Y29" s="159">
        <v>2010</v>
      </c>
      <c r="Z29" s="159">
        <v>2012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160">
        <v>0</v>
      </c>
      <c r="AH29" s="170" t="s">
        <v>213</v>
      </c>
      <c r="AI29" s="159" t="s">
        <v>210</v>
      </c>
      <c r="AJ29" s="159">
        <v>2010</v>
      </c>
      <c r="AK29" s="159">
        <v>2012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160">
        <v>0</v>
      </c>
      <c r="AS29" s="170" t="s">
        <v>213</v>
      </c>
      <c r="AT29" s="159" t="s">
        <v>210</v>
      </c>
      <c r="AU29" s="159">
        <v>2010</v>
      </c>
      <c r="AV29" s="159">
        <v>2012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168">
        <v>0</v>
      </c>
      <c r="BE29" s="96"/>
    </row>
    <row r="30" spans="1:61" s="40" customFormat="1" ht="15.75" customHeight="1">
      <c r="A30" s="89" t="s">
        <v>214</v>
      </c>
      <c r="B30" s="90" t="s">
        <v>210</v>
      </c>
      <c r="C30" s="90">
        <v>2010</v>
      </c>
      <c r="D30" s="90">
        <v>2013</v>
      </c>
      <c r="E30" s="91">
        <v>18336</v>
      </c>
      <c r="F30" s="91">
        <v>1476</v>
      </c>
      <c r="G30" s="88">
        <v>1476</v>
      </c>
      <c r="H30" s="88">
        <v>0</v>
      </c>
      <c r="I30" s="88">
        <v>0</v>
      </c>
      <c r="J30" s="88">
        <v>0</v>
      </c>
      <c r="K30" s="160">
        <v>0</v>
      </c>
      <c r="L30" s="170" t="s">
        <v>214</v>
      </c>
      <c r="M30" s="159" t="s">
        <v>210</v>
      </c>
      <c r="N30" s="159">
        <v>2010</v>
      </c>
      <c r="O30" s="159">
        <v>2013</v>
      </c>
      <c r="P30" s="91">
        <v>0</v>
      </c>
      <c r="Q30" s="91">
        <v>0</v>
      </c>
      <c r="R30" s="91">
        <v>0</v>
      </c>
      <c r="S30" s="88">
        <v>0</v>
      </c>
      <c r="T30" s="88">
        <v>0</v>
      </c>
      <c r="U30" s="88">
        <v>0</v>
      </c>
      <c r="V30" s="160">
        <v>0</v>
      </c>
      <c r="W30" s="170" t="s">
        <v>214</v>
      </c>
      <c r="X30" s="159" t="s">
        <v>210</v>
      </c>
      <c r="Y30" s="159">
        <v>2010</v>
      </c>
      <c r="Z30" s="159">
        <v>2013</v>
      </c>
      <c r="AA30" s="88">
        <v>0</v>
      </c>
      <c r="AB30" s="91">
        <v>0</v>
      </c>
      <c r="AC30" s="91">
        <v>0</v>
      </c>
      <c r="AD30" s="91">
        <v>0</v>
      </c>
      <c r="AE30" s="88">
        <v>0</v>
      </c>
      <c r="AF30" s="88">
        <v>0</v>
      </c>
      <c r="AG30" s="160">
        <v>0</v>
      </c>
      <c r="AH30" s="170" t="s">
        <v>214</v>
      </c>
      <c r="AI30" s="159" t="s">
        <v>210</v>
      </c>
      <c r="AJ30" s="159">
        <v>2010</v>
      </c>
      <c r="AK30" s="159">
        <v>2013</v>
      </c>
      <c r="AL30" s="88">
        <v>0</v>
      </c>
      <c r="AM30" s="91">
        <v>0</v>
      </c>
      <c r="AN30" s="91">
        <v>0</v>
      </c>
      <c r="AO30" s="91">
        <v>0</v>
      </c>
      <c r="AP30" s="88">
        <v>0</v>
      </c>
      <c r="AQ30" s="88">
        <v>0</v>
      </c>
      <c r="AR30" s="160">
        <v>0</v>
      </c>
      <c r="AS30" s="170" t="s">
        <v>214</v>
      </c>
      <c r="AT30" s="159" t="s">
        <v>210</v>
      </c>
      <c r="AU30" s="159">
        <v>2010</v>
      </c>
      <c r="AV30" s="159">
        <v>2013</v>
      </c>
      <c r="AW30" s="150">
        <v>0</v>
      </c>
      <c r="AX30" s="88">
        <v>0</v>
      </c>
      <c r="AY30" s="91">
        <v>0</v>
      </c>
      <c r="AZ30" s="91">
        <v>0</v>
      </c>
      <c r="BA30" s="91">
        <v>0</v>
      </c>
      <c r="BB30" s="88">
        <v>0</v>
      </c>
      <c r="BC30" s="88">
        <v>0</v>
      </c>
      <c r="BD30" s="168">
        <v>0</v>
      </c>
      <c r="BE30" s="96"/>
      <c r="BF30" s="65"/>
      <c r="BG30" s="65"/>
    </row>
    <row r="31" spans="1:61" s="40" customFormat="1" ht="37.5" customHeight="1">
      <c r="A31" s="59" t="s">
        <v>215</v>
      </c>
      <c r="B31" s="60" t="s">
        <v>210</v>
      </c>
      <c r="C31" s="60">
        <v>2010</v>
      </c>
      <c r="D31" s="60">
        <v>2012</v>
      </c>
      <c r="E31" s="61">
        <v>16500</v>
      </c>
      <c r="F31" s="61">
        <v>6000</v>
      </c>
      <c r="G31" s="62">
        <v>0</v>
      </c>
      <c r="H31" s="62">
        <v>0</v>
      </c>
      <c r="I31" s="62">
        <v>0</v>
      </c>
      <c r="J31" s="62">
        <v>0</v>
      </c>
      <c r="K31" s="161">
        <v>0</v>
      </c>
      <c r="L31" s="172" t="s">
        <v>215</v>
      </c>
      <c r="M31" s="60" t="s">
        <v>210</v>
      </c>
      <c r="N31" s="60">
        <v>2010</v>
      </c>
      <c r="O31" s="60">
        <v>2012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161">
        <v>0</v>
      </c>
      <c r="W31" s="172" t="s">
        <v>215</v>
      </c>
      <c r="X31" s="60" t="s">
        <v>210</v>
      </c>
      <c r="Y31" s="60">
        <v>2010</v>
      </c>
      <c r="Z31" s="60">
        <v>2012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161">
        <v>0</v>
      </c>
      <c r="AH31" s="172" t="s">
        <v>215</v>
      </c>
      <c r="AI31" s="60" t="s">
        <v>210</v>
      </c>
      <c r="AJ31" s="60">
        <v>2010</v>
      </c>
      <c r="AK31" s="60">
        <v>2012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161">
        <v>0</v>
      </c>
      <c r="AS31" s="172" t="s">
        <v>215</v>
      </c>
      <c r="AT31" s="60" t="s">
        <v>210</v>
      </c>
      <c r="AU31" s="60">
        <v>2010</v>
      </c>
      <c r="AV31" s="60">
        <v>2012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169">
        <v>0</v>
      </c>
      <c r="BE31" s="96"/>
    </row>
    <row r="32" spans="1:61" s="66" customFormat="1">
      <c r="A32" s="93" t="s">
        <v>144</v>
      </c>
      <c r="B32" s="93"/>
      <c r="C32" s="93"/>
      <c r="D32" s="93"/>
      <c r="E32" s="216"/>
      <c r="F32" s="216"/>
      <c r="G32" s="93"/>
      <c r="H32" s="93"/>
      <c r="I32" s="93"/>
      <c r="J32" s="93"/>
      <c r="K32" s="93"/>
      <c r="L32" s="93" t="s">
        <v>145</v>
      </c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3" t="s">
        <v>146</v>
      </c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3" t="s">
        <v>147</v>
      </c>
      <c r="AI32" s="93"/>
      <c r="AJ32" s="93"/>
      <c r="AK32" s="93"/>
      <c r="AL32" s="94"/>
      <c r="AM32" s="94"/>
      <c r="AN32" s="94"/>
      <c r="AO32" s="93"/>
      <c r="AP32" s="93"/>
      <c r="AQ32" s="93"/>
      <c r="AR32" s="93"/>
      <c r="AS32" s="95" t="s">
        <v>148</v>
      </c>
      <c r="AT32" s="95"/>
      <c r="AU32" s="95"/>
      <c r="AV32" s="95"/>
      <c r="AW32" s="93"/>
      <c r="AX32" s="93"/>
      <c r="AY32" s="93"/>
      <c r="AZ32" s="93"/>
      <c r="BA32" s="95"/>
      <c r="BB32" s="95"/>
      <c r="BC32" s="95"/>
      <c r="BD32" s="95"/>
      <c r="BE32" s="96"/>
      <c r="BF32" s="95"/>
      <c r="BG32" s="95"/>
      <c r="BH32" s="96"/>
      <c r="BI32" s="96"/>
    </row>
    <row r="33" spans="1:59" s="33" customFormat="1" ht="12.75" customHeight="1">
      <c r="A33" s="233" t="s">
        <v>157</v>
      </c>
      <c r="B33" s="230" t="s">
        <v>158</v>
      </c>
      <c r="C33" s="232" t="s">
        <v>159</v>
      </c>
      <c r="D33" s="232"/>
      <c r="E33" s="230" t="s">
        <v>160</v>
      </c>
      <c r="F33" s="228" t="s">
        <v>161</v>
      </c>
      <c r="G33" s="228" t="s">
        <v>162</v>
      </c>
      <c r="H33" s="228" t="s">
        <v>163</v>
      </c>
      <c r="I33" s="228" t="s">
        <v>164</v>
      </c>
      <c r="J33" s="228" t="s">
        <v>165</v>
      </c>
      <c r="K33" s="222" t="s">
        <v>166</v>
      </c>
      <c r="L33" s="226" t="s">
        <v>157</v>
      </c>
      <c r="M33" s="230" t="s">
        <v>158</v>
      </c>
      <c r="N33" s="232" t="s">
        <v>159</v>
      </c>
      <c r="O33" s="232"/>
      <c r="P33" s="224" t="s">
        <v>167</v>
      </c>
      <c r="Q33" s="228" t="s">
        <v>168</v>
      </c>
      <c r="R33" s="228" t="s">
        <v>169</v>
      </c>
      <c r="S33" s="228" t="s">
        <v>170</v>
      </c>
      <c r="T33" s="228" t="s">
        <v>171</v>
      </c>
      <c r="U33" s="228" t="s">
        <v>172</v>
      </c>
      <c r="V33" s="222" t="s">
        <v>173</v>
      </c>
      <c r="W33" s="226" t="s">
        <v>157</v>
      </c>
      <c r="X33" s="230" t="s">
        <v>158</v>
      </c>
      <c r="Y33" s="232" t="s">
        <v>159</v>
      </c>
      <c r="Z33" s="232"/>
      <c r="AA33" s="228" t="s">
        <v>174</v>
      </c>
      <c r="AB33" s="224" t="s">
        <v>175</v>
      </c>
      <c r="AC33" s="228" t="s">
        <v>176</v>
      </c>
      <c r="AD33" s="228" t="s">
        <v>177</v>
      </c>
      <c r="AE33" s="228" t="s">
        <v>178</v>
      </c>
      <c r="AF33" s="228" t="s">
        <v>179</v>
      </c>
      <c r="AG33" s="222" t="s">
        <v>180</v>
      </c>
      <c r="AH33" s="226" t="s">
        <v>157</v>
      </c>
      <c r="AI33" s="230" t="s">
        <v>158</v>
      </c>
      <c r="AJ33" s="232" t="s">
        <v>159</v>
      </c>
      <c r="AK33" s="232"/>
      <c r="AL33" s="228" t="s">
        <v>181</v>
      </c>
      <c r="AM33" s="224" t="s">
        <v>182</v>
      </c>
      <c r="AN33" s="224" t="s">
        <v>183</v>
      </c>
      <c r="AO33" s="228" t="s">
        <v>184</v>
      </c>
      <c r="AP33" s="228" t="s">
        <v>185</v>
      </c>
      <c r="AQ33" s="228" t="s">
        <v>186</v>
      </c>
      <c r="AR33" s="222" t="s">
        <v>187</v>
      </c>
      <c r="AS33" s="226" t="s">
        <v>157</v>
      </c>
      <c r="AT33" s="230" t="s">
        <v>158</v>
      </c>
      <c r="AU33" s="232" t="s">
        <v>159</v>
      </c>
      <c r="AV33" s="232"/>
      <c r="AW33" s="228" t="s">
        <v>188</v>
      </c>
      <c r="AX33" s="228" t="s">
        <v>189</v>
      </c>
      <c r="AY33" s="224" t="s">
        <v>190</v>
      </c>
      <c r="AZ33" s="224" t="s">
        <v>191</v>
      </c>
      <c r="BA33" s="228" t="s">
        <v>192</v>
      </c>
      <c r="BB33" s="228" t="s">
        <v>193</v>
      </c>
      <c r="BC33" s="228" t="s">
        <v>194</v>
      </c>
      <c r="BD33" s="235" t="s">
        <v>195</v>
      </c>
      <c r="BE33" s="152"/>
    </row>
    <row r="34" spans="1:59" s="31" customFormat="1" ht="24" customHeight="1">
      <c r="A34" s="234"/>
      <c r="B34" s="231"/>
      <c r="C34" s="147" t="s">
        <v>196</v>
      </c>
      <c r="D34" s="147" t="s">
        <v>197</v>
      </c>
      <c r="E34" s="231"/>
      <c r="F34" s="229"/>
      <c r="G34" s="229"/>
      <c r="H34" s="229"/>
      <c r="I34" s="229"/>
      <c r="J34" s="229"/>
      <c r="K34" s="223"/>
      <c r="L34" s="227"/>
      <c r="M34" s="231"/>
      <c r="N34" s="147" t="s">
        <v>196</v>
      </c>
      <c r="O34" s="147" t="s">
        <v>197</v>
      </c>
      <c r="P34" s="225"/>
      <c r="Q34" s="229"/>
      <c r="R34" s="229"/>
      <c r="S34" s="229"/>
      <c r="T34" s="229"/>
      <c r="U34" s="229"/>
      <c r="V34" s="223"/>
      <c r="W34" s="227"/>
      <c r="X34" s="231"/>
      <c r="Y34" s="147" t="s">
        <v>196</v>
      </c>
      <c r="Z34" s="147" t="s">
        <v>197</v>
      </c>
      <c r="AA34" s="229"/>
      <c r="AB34" s="225"/>
      <c r="AC34" s="229"/>
      <c r="AD34" s="229"/>
      <c r="AE34" s="229"/>
      <c r="AF34" s="229"/>
      <c r="AG34" s="223"/>
      <c r="AH34" s="227"/>
      <c r="AI34" s="231"/>
      <c r="AJ34" s="147" t="s">
        <v>196</v>
      </c>
      <c r="AK34" s="147" t="s">
        <v>197</v>
      </c>
      <c r="AL34" s="229"/>
      <c r="AM34" s="225"/>
      <c r="AN34" s="225"/>
      <c r="AO34" s="229"/>
      <c r="AP34" s="229"/>
      <c r="AQ34" s="229"/>
      <c r="AR34" s="223"/>
      <c r="AS34" s="227"/>
      <c r="AT34" s="231"/>
      <c r="AU34" s="147" t="s">
        <v>196</v>
      </c>
      <c r="AV34" s="147" t="s">
        <v>197</v>
      </c>
      <c r="AW34" s="229"/>
      <c r="AX34" s="229"/>
      <c r="AY34" s="225"/>
      <c r="AZ34" s="225"/>
      <c r="BA34" s="229"/>
      <c r="BB34" s="229"/>
      <c r="BC34" s="229"/>
      <c r="BD34" s="236"/>
      <c r="BE34" s="153"/>
    </row>
    <row r="35" spans="1:59" s="40" customFormat="1" ht="25.5" customHeight="1">
      <c r="A35" s="57" t="s">
        <v>216</v>
      </c>
      <c r="B35" s="46" t="s">
        <v>210</v>
      </c>
      <c r="C35" s="46">
        <v>2010</v>
      </c>
      <c r="D35" s="46">
        <v>2013</v>
      </c>
      <c r="E35" s="48">
        <v>6632</v>
      </c>
      <c r="F35" s="48">
        <v>2214</v>
      </c>
      <c r="G35" s="49">
        <v>923</v>
      </c>
      <c r="H35" s="49">
        <v>0</v>
      </c>
      <c r="I35" s="49">
        <v>0</v>
      </c>
      <c r="J35" s="49">
        <v>0</v>
      </c>
      <c r="K35" s="73">
        <v>0</v>
      </c>
      <c r="L35" s="171" t="s">
        <v>216</v>
      </c>
      <c r="M35" s="158" t="s">
        <v>210</v>
      </c>
      <c r="N35" s="158">
        <v>2010</v>
      </c>
      <c r="O35" s="158">
        <v>2013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73">
        <v>0</v>
      </c>
      <c r="W35" s="171" t="s">
        <v>216</v>
      </c>
      <c r="X35" s="158" t="s">
        <v>210</v>
      </c>
      <c r="Y35" s="158">
        <v>2010</v>
      </c>
      <c r="Z35" s="158">
        <v>2013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73">
        <v>0</v>
      </c>
      <c r="AH35" s="171" t="s">
        <v>216</v>
      </c>
      <c r="AI35" s="158" t="s">
        <v>210</v>
      </c>
      <c r="AJ35" s="158">
        <v>2010</v>
      </c>
      <c r="AK35" s="158">
        <v>2013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73">
        <v>0</v>
      </c>
      <c r="AS35" s="171" t="s">
        <v>216</v>
      </c>
      <c r="AT35" s="158" t="s">
        <v>210</v>
      </c>
      <c r="AU35" s="158">
        <v>2010</v>
      </c>
      <c r="AV35" s="158">
        <v>2013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166">
        <v>0</v>
      </c>
      <c r="BE35" s="96"/>
    </row>
    <row r="36" spans="1:59" s="40" customFormat="1" ht="37.5" customHeight="1">
      <c r="A36" s="57" t="s">
        <v>217</v>
      </c>
      <c r="B36" s="46" t="s">
        <v>210</v>
      </c>
      <c r="C36" s="46">
        <v>2010</v>
      </c>
      <c r="D36" s="46">
        <v>2013</v>
      </c>
      <c r="E36" s="48">
        <v>4420</v>
      </c>
      <c r="F36" s="48">
        <v>1476</v>
      </c>
      <c r="G36" s="49">
        <v>492</v>
      </c>
      <c r="H36" s="49">
        <v>0</v>
      </c>
      <c r="I36" s="49">
        <v>0</v>
      </c>
      <c r="J36" s="49">
        <v>0</v>
      </c>
      <c r="K36" s="73">
        <v>0</v>
      </c>
      <c r="L36" s="171" t="s">
        <v>217</v>
      </c>
      <c r="M36" s="158" t="s">
        <v>210</v>
      </c>
      <c r="N36" s="158">
        <v>2010</v>
      </c>
      <c r="O36" s="158">
        <v>2013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73">
        <v>0</v>
      </c>
      <c r="W36" s="171" t="s">
        <v>217</v>
      </c>
      <c r="X36" s="158" t="s">
        <v>210</v>
      </c>
      <c r="Y36" s="158">
        <v>2010</v>
      </c>
      <c r="Z36" s="158">
        <v>2013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73">
        <v>0</v>
      </c>
      <c r="AH36" s="171" t="s">
        <v>217</v>
      </c>
      <c r="AI36" s="158" t="s">
        <v>210</v>
      </c>
      <c r="AJ36" s="158">
        <v>2010</v>
      </c>
      <c r="AK36" s="158">
        <v>2013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73">
        <v>0</v>
      </c>
      <c r="AS36" s="171" t="s">
        <v>217</v>
      </c>
      <c r="AT36" s="158" t="s">
        <v>210</v>
      </c>
      <c r="AU36" s="158">
        <v>2010</v>
      </c>
      <c r="AV36" s="158">
        <v>2013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166">
        <v>0</v>
      </c>
      <c r="BE36" s="96"/>
    </row>
    <row r="37" spans="1:59" s="40" customFormat="1" ht="37.5" customHeight="1">
      <c r="A37" s="57" t="s">
        <v>218</v>
      </c>
      <c r="B37" s="46" t="s">
        <v>210</v>
      </c>
      <c r="C37" s="46">
        <v>2011</v>
      </c>
      <c r="D37" s="46">
        <v>2012</v>
      </c>
      <c r="E37" s="48">
        <v>22000</v>
      </c>
      <c r="F37" s="48">
        <v>11000</v>
      </c>
      <c r="G37" s="49">
        <v>0</v>
      </c>
      <c r="H37" s="49">
        <v>0</v>
      </c>
      <c r="I37" s="49">
        <v>0</v>
      </c>
      <c r="J37" s="49">
        <v>0</v>
      </c>
      <c r="K37" s="73">
        <v>0</v>
      </c>
      <c r="L37" s="171" t="s">
        <v>218</v>
      </c>
      <c r="M37" s="158" t="s">
        <v>210</v>
      </c>
      <c r="N37" s="158">
        <v>2011</v>
      </c>
      <c r="O37" s="158">
        <v>2012</v>
      </c>
      <c r="P37" s="48">
        <v>0</v>
      </c>
      <c r="Q37" s="48">
        <v>0</v>
      </c>
      <c r="R37" s="48">
        <v>0</v>
      </c>
      <c r="S37" s="49">
        <v>0</v>
      </c>
      <c r="T37" s="49">
        <v>0</v>
      </c>
      <c r="U37" s="49">
        <v>0</v>
      </c>
      <c r="V37" s="73">
        <v>0</v>
      </c>
      <c r="W37" s="171" t="s">
        <v>218</v>
      </c>
      <c r="X37" s="158" t="s">
        <v>210</v>
      </c>
      <c r="Y37" s="158">
        <v>2011</v>
      </c>
      <c r="Z37" s="158">
        <v>2012</v>
      </c>
      <c r="AA37" s="49">
        <v>0</v>
      </c>
      <c r="AB37" s="48">
        <v>0</v>
      </c>
      <c r="AC37" s="48">
        <v>0</v>
      </c>
      <c r="AD37" s="48">
        <v>0</v>
      </c>
      <c r="AE37" s="49">
        <v>0</v>
      </c>
      <c r="AF37" s="49">
        <v>0</v>
      </c>
      <c r="AG37" s="73">
        <v>0</v>
      </c>
      <c r="AH37" s="171" t="s">
        <v>218</v>
      </c>
      <c r="AI37" s="158" t="s">
        <v>210</v>
      </c>
      <c r="AJ37" s="158">
        <v>2011</v>
      </c>
      <c r="AK37" s="158">
        <v>2012</v>
      </c>
      <c r="AL37" s="49">
        <v>0</v>
      </c>
      <c r="AM37" s="48">
        <v>0</v>
      </c>
      <c r="AN37" s="48">
        <v>0</v>
      </c>
      <c r="AO37" s="48">
        <v>0</v>
      </c>
      <c r="AP37" s="49">
        <v>0</v>
      </c>
      <c r="AQ37" s="49">
        <v>0</v>
      </c>
      <c r="AR37" s="73">
        <v>0</v>
      </c>
      <c r="AS37" s="171" t="s">
        <v>218</v>
      </c>
      <c r="AT37" s="158" t="s">
        <v>210</v>
      </c>
      <c r="AU37" s="158">
        <v>2011</v>
      </c>
      <c r="AV37" s="158">
        <v>2012</v>
      </c>
      <c r="AW37" s="70">
        <v>0</v>
      </c>
      <c r="AX37" s="49">
        <v>0</v>
      </c>
      <c r="AY37" s="48">
        <v>0</v>
      </c>
      <c r="AZ37" s="48">
        <v>0</v>
      </c>
      <c r="BA37" s="48">
        <v>0</v>
      </c>
      <c r="BB37" s="49">
        <v>0</v>
      </c>
      <c r="BC37" s="49">
        <v>0</v>
      </c>
      <c r="BD37" s="73">
        <v>0</v>
      </c>
      <c r="BE37" s="96"/>
      <c r="BF37" s="65"/>
      <c r="BG37" s="65"/>
    </row>
    <row r="38" spans="1:59" s="40" customFormat="1" ht="51.75" customHeight="1">
      <c r="A38" s="57" t="s">
        <v>219</v>
      </c>
      <c r="B38" s="46" t="s">
        <v>210</v>
      </c>
      <c r="C38" s="46">
        <v>2011</v>
      </c>
      <c r="D38" s="46">
        <v>2012</v>
      </c>
      <c r="E38" s="48">
        <v>44500</v>
      </c>
      <c r="F38" s="48">
        <v>35600</v>
      </c>
      <c r="G38" s="49">
        <v>0</v>
      </c>
      <c r="H38" s="49">
        <v>0</v>
      </c>
      <c r="I38" s="49">
        <v>0</v>
      </c>
      <c r="J38" s="49">
        <v>0</v>
      </c>
      <c r="K38" s="73">
        <v>0</v>
      </c>
      <c r="L38" s="171" t="s">
        <v>219</v>
      </c>
      <c r="M38" s="158" t="s">
        <v>210</v>
      </c>
      <c r="N38" s="158">
        <v>2011</v>
      </c>
      <c r="O38" s="158">
        <v>2012</v>
      </c>
      <c r="P38" s="48">
        <v>0</v>
      </c>
      <c r="Q38" s="48">
        <v>0</v>
      </c>
      <c r="R38" s="48">
        <v>0</v>
      </c>
      <c r="S38" s="49">
        <v>0</v>
      </c>
      <c r="T38" s="49">
        <v>0</v>
      </c>
      <c r="U38" s="49">
        <v>0</v>
      </c>
      <c r="V38" s="73">
        <v>0</v>
      </c>
      <c r="W38" s="171" t="s">
        <v>219</v>
      </c>
      <c r="X38" s="158" t="s">
        <v>210</v>
      </c>
      <c r="Y38" s="158">
        <v>2011</v>
      </c>
      <c r="Z38" s="158">
        <v>2012</v>
      </c>
      <c r="AA38" s="49">
        <v>0</v>
      </c>
      <c r="AB38" s="48">
        <v>0</v>
      </c>
      <c r="AC38" s="48">
        <v>0</v>
      </c>
      <c r="AD38" s="48">
        <v>0</v>
      </c>
      <c r="AE38" s="49">
        <v>0</v>
      </c>
      <c r="AF38" s="49">
        <v>0</v>
      </c>
      <c r="AG38" s="73">
        <v>0</v>
      </c>
      <c r="AH38" s="171" t="s">
        <v>219</v>
      </c>
      <c r="AI38" s="158" t="s">
        <v>210</v>
      </c>
      <c r="AJ38" s="158">
        <v>2011</v>
      </c>
      <c r="AK38" s="158">
        <v>2012</v>
      </c>
      <c r="AL38" s="49">
        <v>0</v>
      </c>
      <c r="AM38" s="48">
        <v>0</v>
      </c>
      <c r="AN38" s="48">
        <v>0</v>
      </c>
      <c r="AO38" s="48">
        <v>0</v>
      </c>
      <c r="AP38" s="49">
        <v>0</v>
      </c>
      <c r="AQ38" s="49">
        <v>0</v>
      </c>
      <c r="AR38" s="73">
        <v>0</v>
      </c>
      <c r="AS38" s="171" t="s">
        <v>219</v>
      </c>
      <c r="AT38" s="158" t="s">
        <v>210</v>
      </c>
      <c r="AU38" s="158">
        <v>2011</v>
      </c>
      <c r="AV38" s="158">
        <v>2012</v>
      </c>
      <c r="AW38" s="70">
        <v>0</v>
      </c>
      <c r="AX38" s="49">
        <v>0</v>
      </c>
      <c r="AY38" s="48">
        <v>0</v>
      </c>
      <c r="AZ38" s="48">
        <v>0</v>
      </c>
      <c r="BA38" s="48">
        <v>0</v>
      </c>
      <c r="BB38" s="49">
        <v>0</v>
      </c>
      <c r="BC38" s="49">
        <v>0</v>
      </c>
      <c r="BD38" s="166">
        <v>0</v>
      </c>
      <c r="BE38" s="96"/>
      <c r="BF38" s="65"/>
      <c r="BG38" s="65"/>
    </row>
    <row r="39" spans="1:59" s="40" customFormat="1" ht="15" customHeight="1">
      <c r="A39" s="245" t="s">
        <v>200</v>
      </c>
      <c r="B39" s="245"/>
      <c r="C39" s="245"/>
      <c r="D39" s="245"/>
      <c r="E39" s="247">
        <f t="shared" ref="E39:K39" si="45">SUM(E41,E43,E45,E46)</f>
        <v>20490479</v>
      </c>
      <c r="F39" s="38">
        <f t="shared" si="45"/>
        <v>1764785</v>
      </c>
      <c r="G39" s="247">
        <f t="shared" si="45"/>
        <v>1042600</v>
      </c>
      <c r="H39" s="247">
        <f t="shared" si="45"/>
        <v>1042600</v>
      </c>
      <c r="I39" s="247">
        <f t="shared" si="45"/>
        <v>1042600</v>
      </c>
      <c r="J39" s="247">
        <f t="shared" si="45"/>
        <v>1042600</v>
      </c>
      <c r="K39" s="248">
        <f t="shared" si="45"/>
        <v>1042600</v>
      </c>
      <c r="L39" s="246" t="s">
        <v>200</v>
      </c>
      <c r="M39" s="245"/>
      <c r="N39" s="245"/>
      <c r="O39" s="245"/>
      <c r="P39" s="247">
        <f>SUM(P41,P43,P45,P46)</f>
        <v>1042600</v>
      </c>
      <c r="Q39" s="247">
        <f t="shared" ref="Q39:U39" si="46">SUM(Q41,Q43,Q45,Q46)</f>
        <v>1042600</v>
      </c>
      <c r="R39" s="247">
        <f t="shared" si="46"/>
        <v>1042600</v>
      </c>
      <c r="S39" s="247">
        <f t="shared" si="46"/>
        <v>1042600</v>
      </c>
      <c r="T39" s="247">
        <f t="shared" si="46"/>
        <v>1042600</v>
      </c>
      <c r="U39" s="247">
        <f t="shared" si="46"/>
        <v>1042600</v>
      </c>
      <c r="V39" s="248">
        <f>SUM(V41,V43,V45,V46)</f>
        <v>1042600</v>
      </c>
      <c r="W39" s="246" t="s">
        <v>200</v>
      </c>
      <c r="X39" s="245"/>
      <c r="Y39" s="245"/>
      <c r="Z39" s="245"/>
      <c r="AA39" s="247">
        <f>SUM(AA41,AA43,AA45,AA46)</f>
        <v>1042600</v>
      </c>
      <c r="AB39" s="247">
        <f>SUM(AB41,AB43,AB45,AB46)</f>
        <v>1042600</v>
      </c>
      <c r="AC39" s="247">
        <f t="shared" ref="AC39:AE39" si="47">SUM(AC41,AC43,AC45,AC46)</f>
        <v>1042600</v>
      </c>
      <c r="AD39" s="247">
        <f t="shared" si="47"/>
        <v>0</v>
      </c>
      <c r="AE39" s="247">
        <f t="shared" si="47"/>
        <v>0</v>
      </c>
      <c r="AF39" s="247">
        <f>SUM(AF41,AF43,AF45,AF46)</f>
        <v>0</v>
      </c>
      <c r="AG39" s="248">
        <f>SUM(AG41,AG43,AG45,AG46)</f>
        <v>0</v>
      </c>
      <c r="AH39" s="246" t="s">
        <v>200</v>
      </c>
      <c r="AI39" s="245"/>
      <c r="AJ39" s="245"/>
      <c r="AK39" s="245"/>
      <c r="AL39" s="247">
        <f>SUM(AL41,AL43,AL45,AL46)</f>
        <v>0</v>
      </c>
      <c r="AM39" s="247">
        <f>SUM(AM41,AM43,AM45,AM46)</f>
        <v>0</v>
      </c>
      <c r="AN39" s="247">
        <f>SUM(AN41,AN43,AN45,AN46)</f>
        <v>0</v>
      </c>
      <c r="AO39" s="247">
        <f t="shared" ref="AO39:AX39" si="48">SUM(AO41,AO43,AO45,AO46)</f>
        <v>0</v>
      </c>
      <c r="AP39" s="247">
        <f>SUM(AP41,AP43,AP45,AP46)</f>
        <v>0</v>
      </c>
      <c r="AQ39" s="247">
        <f>SUM(AQ41,AQ43,AQ45,AQ46)</f>
        <v>0</v>
      </c>
      <c r="AR39" s="248">
        <f>SUM(AR41,AR43,AR45,AR46)</f>
        <v>0</v>
      </c>
      <c r="AS39" s="246" t="s">
        <v>200</v>
      </c>
      <c r="AT39" s="245"/>
      <c r="AU39" s="245"/>
      <c r="AV39" s="245"/>
      <c r="AW39" s="247">
        <f t="shared" si="48"/>
        <v>0</v>
      </c>
      <c r="AX39" s="247">
        <f t="shared" si="48"/>
        <v>0</v>
      </c>
      <c r="AY39" s="247">
        <f t="shared" ref="AY39:BD39" si="49">SUM(AY41,AY43,AY45,AY46)</f>
        <v>0</v>
      </c>
      <c r="AZ39" s="247">
        <f t="shared" si="49"/>
        <v>0</v>
      </c>
      <c r="BA39" s="247">
        <f t="shared" si="49"/>
        <v>0</v>
      </c>
      <c r="BB39" s="247">
        <f t="shared" si="49"/>
        <v>0</v>
      </c>
      <c r="BC39" s="247">
        <f t="shared" si="49"/>
        <v>0</v>
      </c>
      <c r="BD39" s="44">
        <f t="shared" si="49"/>
        <v>400957</v>
      </c>
      <c r="BE39" s="96"/>
      <c r="BG39" s="71"/>
    </row>
    <row r="40" spans="1:59" s="40" customFormat="1" ht="15" customHeight="1">
      <c r="A40" s="245"/>
      <c r="B40" s="245"/>
      <c r="C40" s="245"/>
      <c r="D40" s="245"/>
      <c r="E40" s="247"/>
      <c r="F40" s="38">
        <f>SUM(F42,F44,F47)</f>
        <v>747515</v>
      </c>
      <c r="G40" s="247"/>
      <c r="H40" s="247"/>
      <c r="I40" s="247"/>
      <c r="J40" s="247"/>
      <c r="K40" s="248"/>
      <c r="L40" s="246"/>
      <c r="M40" s="245"/>
      <c r="N40" s="245"/>
      <c r="O40" s="245"/>
      <c r="P40" s="247"/>
      <c r="Q40" s="247"/>
      <c r="R40" s="247"/>
      <c r="S40" s="247"/>
      <c r="T40" s="247"/>
      <c r="U40" s="247"/>
      <c r="V40" s="248"/>
      <c r="W40" s="246"/>
      <c r="X40" s="245"/>
      <c r="Y40" s="245"/>
      <c r="Z40" s="245"/>
      <c r="AA40" s="247"/>
      <c r="AB40" s="247"/>
      <c r="AC40" s="247"/>
      <c r="AD40" s="247"/>
      <c r="AE40" s="247"/>
      <c r="AF40" s="247"/>
      <c r="AG40" s="248"/>
      <c r="AH40" s="246"/>
      <c r="AI40" s="245"/>
      <c r="AJ40" s="245"/>
      <c r="AK40" s="245"/>
      <c r="AL40" s="247"/>
      <c r="AM40" s="247"/>
      <c r="AN40" s="247"/>
      <c r="AO40" s="247"/>
      <c r="AP40" s="247"/>
      <c r="AQ40" s="247"/>
      <c r="AR40" s="248"/>
      <c r="AS40" s="246"/>
      <c r="AT40" s="245"/>
      <c r="AU40" s="245"/>
      <c r="AV40" s="245"/>
      <c r="AW40" s="247"/>
      <c r="AX40" s="247"/>
      <c r="AY40" s="247"/>
      <c r="AZ40" s="247"/>
      <c r="BA40" s="247"/>
      <c r="BB40" s="247"/>
      <c r="BC40" s="247"/>
      <c r="BD40" s="44">
        <f>SUM(BD42,BD44,BD47)</f>
        <v>115450</v>
      </c>
      <c r="BE40" s="96"/>
    </row>
    <row r="41" spans="1:59" s="40" customFormat="1" ht="14.25" customHeight="1">
      <c r="A41" s="255" t="s">
        <v>220</v>
      </c>
      <c r="B41" s="256" t="s">
        <v>210</v>
      </c>
      <c r="C41" s="256">
        <v>2009</v>
      </c>
      <c r="D41" s="256">
        <v>2012</v>
      </c>
      <c r="E41" s="257">
        <v>1120882</v>
      </c>
      <c r="F41" s="48">
        <v>391640</v>
      </c>
      <c r="G41" s="257">
        <v>0</v>
      </c>
      <c r="H41" s="257">
        <v>0</v>
      </c>
      <c r="I41" s="257">
        <v>0</v>
      </c>
      <c r="J41" s="257">
        <v>0</v>
      </c>
      <c r="K41" s="258">
        <v>0</v>
      </c>
      <c r="L41" s="259" t="s">
        <v>220</v>
      </c>
      <c r="M41" s="256" t="s">
        <v>210</v>
      </c>
      <c r="N41" s="256">
        <v>2009</v>
      </c>
      <c r="O41" s="256">
        <v>2012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7">
        <v>0</v>
      </c>
      <c r="V41" s="258">
        <v>0</v>
      </c>
      <c r="W41" s="259" t="s">
        <v>220</v>
      </c>
      <c r="X41" s="256" t="s">
        <v>210</v>
      </c>
      <c r="Y41" s="256">
        <v>2009</v>
      </c>
      <c r="Z41" s="256">
        <v>2012</v>
      </c>
      <c r="AA41" s="257">
        <v>0</v>
      </c>
      <c r="AB41" s="257">
        <v>0</v>
      </c>
      <c r="AC41" s="257">
        <v>0</v>
      </c>
      <c r="AD41" s="257">
        <v>0</v>
      </c>
      <c r="AE41" s="257">
        <v>0</v>
      </c>
      <c r="AF41" s="257">
        <v>0</v>
      </c>
      <c r="AG41" s="258">
        <v>0</v>
      </c>
      <c r="AH41" s="259" t="s">
        <v>220</v>
      </c>
      <c r="AI41" s="256" t="s">
        <v>210</v>
      </c>
      <c r="AJ41" s="256">
        <v>2009</v>
      </c>
      <c r="AK41" s="256">
        <v>2012</v>
      </c>
      <c r="AL41" s="257">
        <v>0</v>
      </c>
      <c r="AM41" s="257">
        <v>0</v>
      </c>
      <c r="AN41" s="257">
        <v>0</v>
      </c>
      <c r="AO41" s="257">
        <v>0</v>
      </c>
      <c r="AP41" s="257">
        <v>0</v>
      </c>
      <c r="AQ41" s="257">
        <v>0</v>
      </c>
      <c r="AR41" s="258">
        <v>0</v>
      </c>
      <c r="AS41" s="259" t="s">
        <v>220</v>
      </c>
      <c r="AT41" s="256" t="s">
        <v>210</v>
      </c>
      <c r="AU41" s="256">
        <v>2009</v>
      </c>
      <c r="AV41" s="256">
        <v>2012</v>
      </c>
      <c r="AW41" s="257">
        <v>0</v>
      </c>
      <c r="AX41" s="257">
        <v>0</v>
      </c>
      <c r="AY41" s="257">
        <v>0</v>
      </c>
      <c r="AZ41" s="257">
        <v>0</v>
      </c>
      <c r="BA41" s="257">
        <v>0</v>
      </c>
      <c r="BB41" s="257">
        <v>0</v>
      </c>
      <c r="BC41" s="257">
        <v>0</v>
      </c>
      <c r="BD41" s="166">
        <v>0</v>
      </c>
      <c r="BE41" s="96"/>
    </row>
    <row r="42" spans="1:59" s="40" customFormat="1">
      <c r="A42" s="255"/>
      <c r="B42" s="256"/>
      <c r="C42" s="256"/>
      <c r="D42" s="256"/>
      <c r="E42" s="257"/>
      <c r="F42" s="48">
        <v>313642</v>
      </c>
      <c r="G42" s="257"/>
      <c r="H42" s="257"/>
      <c r="I42" s="257"/>
      <c r="J42" s="257"/>
      <c r="K42" s="258"/>
      <c r="L42" s="259"/>
      <c r="M42" s="256"/>
      <c r="N42" s="256"/>
      <c r="O42" s="256"/>
      <c r="P42" s="257"/>
      <c r="Q42" s="257"/>
      <c r="R42" s="257"/>
      <c r="S42" s="257"/>
      <c r="T42" s="257"/>
      <c r="U42" s="257"/>
      <c r="V42" s="258"/>
      <c r="W42" s="259"/>
      <c r="X42" s="256"/>
      <c r="Y42" s="256"/>
      <c r="Z42" s="256"/>
      <c r="AA42" s="257"/>
      <c r="AB42" s="257"/>
      <c r="AC42" s="257"/>
      <c r="AD42" s="257"/>
      <c r="AE42" s="257"/>
      <c r="AF42" s="257"/>
      <c r="AG42" s="258"/>
      <c r="AH42" s="259"/>
      <c r="AI42" s="256"/>
      <c r="AJ42" s="256"/>
      <c r="AK42" s="256"/>
      <c r="AL42" s="257"/>
      <c r="AM42" s="257"/>
      <c r="AN42" s="257"/>
      <c r="AO42" s="257"/>
      <c r="AP42" s="257"/>
      <c r="AQ42" s="257"/>
      <c r="AR42" s="258"/>
      <c r="AS42" s="259"/>
      <c r="AT42" s="256"/>
      <c r="AU42" s="256"/>
      <c r="AV42" s="256"/>
      <c r="AW42" s="257"/>
      <c r="AX42" s="257"/>
      <c r="AY42" s="257"/>
      <c r="AZ42" s="257"/>
      <c r="BA42" s="257"/>
      <c r="BB42" s="257"/>
      <c r="BC42" s="257"/>
      <c r="BD42" s="166">
        <v>0</v>
      </c>
      <c r="BE42" s="96"/>
    </row>
    <row r="43" spans="1:59" s="40" customFormat="1" ht="14.25" customHeight="1">
      <c r="A43" s="255" t="s">
        <v>221</v>
      </c>
      <c r="B43" s="256" t="s">
        <v>210</v>
      </c>
      <c r="C43" s="256">
        <v>2009</v>
      </c>
      <c r="D43" s="256">
        <v>2012</v>
      </c>
      <c r="E43" s="257">
        <v>1056418</v>
      </c>
      <c r="F43" s="48">
        <v>394195</v>
      </c>
      <c r="G43" s="257">
        <v>0</v>
      </c>
      <c r="H43" s="257">
        <v>0</v>
      </c>
      <c r="I43" s="257">
        <v>0</v>
      </c>
      <c r="J43" s="257">
        <v>0</v>
      </c>
      <c r="K43" s="258">
        <v>0</v>
      </c>
      <c r="L43" s="259" t="s">
        <v>221</v>
      </c>
      <c r="M43" s="256" t="s">
        <v>210</v>
      </c>
      <c r="N43" s="256">
        <v>2009</v>
      </c>
      <c r="O43" s="256">
        <v>2012</v>
      </c>
      <c r="P43" s="257">
        <v>0</v>
      </c>
      <c r="Q43" s="257">
        <v>0</v>
      </c>
      <c r="R43" s="257">
        <v>0</v>
      </c>
      <c r="S43" s="257">
        <v>0</v>
      </c>
      <c r="T43" s="257">
        <v>0</v>
      </c>
      <c r="U43" s="257">
        <v>0</v>
      </c>
      <c r="V43" s="258">
        <v>0</v>
      </c>
      <c r="W43" s="259" t="s">
        <v>221</v>
      </c>
      <c r="X43" s="256" t="s">
        <v>210</v>
      </c>
      <c r="Y43" s="256">
        <v>2009</v>
      </c>
      <c r="Z43" s="256">
        <v>2012</v>
      </c>
      <c r="AA43" s="257">
        <v>0</v>
      </c>
      <c r="AB43" s="257">
        <v>0</v>
      </c>
      <c r="AC43" s="257">
        <v>0</v>
      </c>
      <c r="AD43" s="257">
        <v>0</v>
      </c>
      <c r="AE43" s="257">
        <v>0</v>
      </c>
      <c r="AF43" s="257">
        <v>0</v>
      </c>
      <c r="AG43" s="258">
        <v>0</v>
      </c>
      <c r="AH43" s="259" t="s">
        <v>221</v>
      </c>
      <c r="AI43" s="256" t="s">
        <v>210</v>
      </c>
      <c r="AJ43" s="256">
        <v>2009</v>
      </c>
      <c r="AK43" s="256">
        <v>2012</v>
      </c>
      <c r="AL43" s="257">
        <v>0</v>
      </c>
      <c r="AM43" s="257">
        <v>0</v>
      </c>
      <c r="AN43" s="257">
        <v>0</v>
      </c>
      <c r="AO43" s="257">
        <v>0</v>
      </c>
      <c r="AP43" s="257">
        <v>0</v>
      </c>
      <c r="AQ43" s="257">
        <v>0</v>
      </c>
      <c r="AR43" s="258">
        <v>0</v>
      </c>
      <c r="AS43" s="259" t="s">
        <v>221</v>
      </c>
      <c r="AT43" s="256" t="s">
        <v>210</v>
      </c>
      <c r="AU43" s="256">
        <v>2009</v>
      </c>
      <c r="AV43" s="256">
        <v>2012</v>
      </c>
      <c r="AW43" s="257">
        <v>0</v>
      </c>
      <c r="AX43" s="257">
        <v>0</v>
      </c>
      <c r="AY43" s="257">
        <v>0</v>
      </c>
      <c r="AZ43" s="257">
        <v>0</v>
      </c>
      <c r="BA43" s="257">
        <v>0</v>
      </c>
      <c r="BB43" s="257">
        <v>0</v>
      </c>
      <c r="BC43" s="257">
        <v>0</v>
      </c>
      <c r="BD43" s="166">
        <v>0</v>
      </c>
      <c r="BE43" s="96"/>
    </row>
    <row r="44" spans="1:59" s="40" customFormat="1">
      <c r="A44" s="255"/>
      <c r="B44" s="256"/>
      <c r="C44" s="256"/>
      <c r="D44" s="256"/>
      <c r="E44" s="257"/>
      <c r="F44" s="48">
        <v>318423</v>
      </c>
      <c r="G44" s="257"/>
      <c r="H44" s="257"/>
      <c r="I44" s="257"/>
      <c r="J44" s="257"/>
      <c r="K44" s="258"/>
      <c r="L44" s="259"/>
      <c r="M44" s="256"/>
      <c r="N44" s="256"/>
      <c r="O44" s="256"/>
      <c r="P44" s="257"/>
      <c r="Q44" s="257"/>
      <c r="R44" s="257"/>
      <c r="S44" s="257"/>
      <c r="T44" s="257"/>
      <c r="U44" s="257"/>
      <c r="V44" s="258"/>
      <c r="W44" s="259"/>
      <c r="X44" s="256"/>
      <c r="Y44" s="256"/>
      <c r="Z44" s="256"/>
      <c r="AA44" s="257"/>
      <c r="AB44" s="257"/>
      <c r="AC44" s="257"/>
      <c r="AD44" s="257"/>
      <c r="AE44" s="257"/>
      <c r="AF44" s="257"/>
      <c r="AG44" s="258"/>
      <c r="AH44" s="259"/>
      <c r="AI44" s="256"/>
      <c r="AJ44" s="256"/>
      <c r="AK44" s="256"/>
      <c r="AL44" s="257"/>
      <c r="AM44" s="257"/>
      <c r="AN44" s="257"/>
      <c r="AO44" s="257"/>
      <c r="AP44" s="257"/>
      <c r="AQ44" s="257"/>
      <c r="AR44" s="258"/>
      <c r="AS44" s="259"/>
      <c r="AT44" s="256"/>
      <c r="AU44" s="256"/>
      <c r="AV44" s="256"/>
      <c r="AW44" s="257"/>
      <c r="AX44" s="257"/>
      <c r="AY44" s="257"/>
      <c r="AZ44" s="257"/>
      <c r="BA44" s="257"/>
      <c r="BB44" s="257"/>
      <c r="BC44" s="257"/>
      <c r="BD44" s="166">
        <v>0</v>
      </c>
      <c r="BE44" s="96"/>
    </row>
    <row r="45" spans="1:59" ht="37.5" customHeight="1">
      <c r="A45" s="57" t="s">
        <v>222</v>
      </c>
      <c r="B45" s="46" t="s">
        <v>210</v>
      </c>
      <c r="C45" s="46">
        <v>2004</v>
      </c>
      <c r="D45" s="46">
        <v>2027</v>
      </c>
      <c r="E45" s="48">
        <v>18010079</v>
      </c>
      <c r="F45" s="48">
        <v>803500</v>
      </c>
      <c r="G45" s="48">
        <v>1042600</v>
      </c>
      <c r="H45" s="48">
        <v>1042600</v>
      </c>
      <c r="I45" s="48">
        <v>1042600</v>
      </c>
      <c r="J45" s="49">
        <v>1042600</v>
      </c>
      <c r="K45" s="73">
        <v>1042600</v>
      </c>
      <c r="L45" s="171" t="s">
        <v>222</v>
      </c>
      <c r="M45" s="158" t="s">
        <v>210</v>
      </c>
      <c r="N45" s="158">
        <v>2004</v>
      </c>
      <c r="O45" s="158">
        <v>2027</v>
      </c>
      <c r="P45" s="49">
        <v>1042600</v>
      </c>
      <c r="Q45" s="49">
        <v>1042600</v>
      </c>
      <c r="R45" s="49">
        <v>1042600</v>
      </c>
      <c r="S45" s="49">
        <v>1042600</v>
      </c>
      <c r="T45" s="49">
        <v>1042600</v>
      </c>
      <c r="U45" s="49">
        <v>1042600</v>
      </c>
      <c r="V45" s="73">
        <v>1042600</v>
      </c>
      <c r="W45" s="171" t="s">
        <v>222</v>
      </c>
      <c r="X45" s="158" t="s">
        <v>210</v>
      </c>
      <c r="Y45" s="158">
        <v>2004</v>
      </c>
      <c r="Z45" s="158">
        <v>2027</v>
      </c>
      <c r="AA45" s="49">
        <v>1042600</v>
      </c>
      <c r="AB45" s="49">
        <v>1042600</v>
      </c>
      <c r="AC45" s="49">
        <v>1042600</v>
      </c>
      <c r="AD45" s="49">
        <v>0</v>
      </c>
      <c r="AE45" s="49">
        <v>0</v>
      </c>
      <c r="AF45" s="49">
        <v>0</v>
      </c>
      <c r="AG45" s="73">
        <v>0</v>
      </c>
      <c r="AH45" s="171" t="s">
        <v>222</v>
      </c>
      <c r="AI45" s="158" t="s">
        <v>210</v>
      </c>
      <c r="AJ45" s="158">
        <v>2004</v>
      </c>
      <c r="AK45" s="158">
        <v>2027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73">
        <v>0</v>
      </c>
      <c r="AS45" s="171" t="s">
        <v>222</v>
      </c>
      <c r="AT45" s="158" t="s">
        <v>210</v>
      </c>
      <c r="AU45" s="158">
        <v>2004</v>
      </c>
      <c r="AV45" s="158">
        <v>2027</v>
      </c>
      <c r="AW45" s="70">
        <v>0</v>
      </c>
      <c r="AX45" s="72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73">
        <v>225507</v>
      </c>
      <c r="BE45" s="104"/>
      <c r="BF45" s="65"/>
      <c r="BG45" s="65"/>
    </row>
    <row r="46" spans="1:59" ht="18" customHeight="1">
      <c r="A46" s="263" t="s">
        <v>223</v>
      </c>
      <c r="B46" s="265" t="s">
        <v>210</v>
      </c>
      <c r="C46" s="265">
        <v>2010</v>
      </c>
      <c r="D46" s="265">
        <v>2012</v>
      </c>
      <c r="E46" s="267">
        <v>303100</v>
      </c>
      <c r="F46" s="48">
        <v>175450</v>
      </c>
      <c r="G46" s="267">
        <v>0</v>
      </c>
      <c r="H46" s="267">
        <v>0</v>
      </c>
      <c r="I46" s="267">
        <v>0</v>
      </c>
      <c r="J46" s="269">
        <v>0</v>
      </c>
      <c r="K46" s="271">
        <v>0</v>
      </c>
      <c r="L46" s="273" t="s">
        <v>223</v>
      </c>
      <c r="M46" s="265" t="s">
        <v>210</v>
      </c>
      <c r="N46" s="265">
        <v>2010</v>
      </c>
      <c r="O46" s="265">
        <v>2012</v>
      </c>
      <c r="P46" s="269">
        <v>0</v>
      </c>
      <c r="Q46" s="269">
        <v>0</v>
      </c>
      <c r="R46" s="269">
        <v>0</v>
      </c>
      <c r="S46" s="269">
        <v>0</v>
      </c>
      <c r="T46" s="269">
        <v>0</v>
      </c>
      <c r="U46" s="269">
        <v>0</v>
      </c>
      <c r="V46" s="271">
        <v>0</v>
      </c>
      <c r="W46" s="273" t="s">
        <v>223</v>
      </c>
      <c r="X46" s="265" t="s">
        <v>210</v>
      </c>
      <c r="Y46" s="265">
        <v>2010</v>
      </c>
      <c r="Z46" s="265">
        <v>2012</v>
      </c>
      <c r="AA46" s="269">
        <v>0</v>
      </c>
      <c r="AB46" s="269">
        <v>0</v>
      </c>
      <c r="AC46" s="269">
        <v>0</v>
      </c>
      <c r="AD46" s="269">
        <v>0</v>
      </c>
      <c r="AE46" s="269">
        <v>0</v>
      </c>
      <c r="AF46" s="269">
        <v>0</v>
      </c>
      <c r="AG46" s="271">
        <v>0</v>
      </c>
      <c r="AH46" s="273" t="s">
        <v>223</v>
      </c>
      <c r="AI46" s="265" t="s">
        <v>210</v>
      </c>
      <c r="AJ46" s="265">
        <v>2010</v>
      </c>
      <c r="AK46" s="265">
        <v>2012</v>
      </c>
      <c r="AL46" s="269">
        <v>0</v>
      </c>
      <c r="AM46" s="269">
        <v>0</v>
      </c>
      <c r="AN46" s="269">
        <v>0</v>
      </c>
      <c r="AO46" s="269">
        <v>0</v>
      </c>
      <c r="AP46" s="269">
        <v>0</v>
      </c>
      <c r="AQ46" s="269">
        <v>0</v>
      </c>
      <c r="AR46" s="271">
        <v>0</v>
      </c>
      <c r="AS46" s="273" t="s">
        <v>223</v>
      </c>
      <c r="AT46" s="265" t="s">
        <v>210</v>
      </c>
      <c r="AU46" s="265">
        <v>2010</v>
      </c>
      <c r="AV46" s="265">
        <v>2012</v>
      </c>
      <c r="AW46" s="269">
        <v>0</v>
      </c>
      <c r="AX46" s="277">
        <v>0</v>
      </c>
      <c r="AY46" s="269">
        <v>0</v>
      </c>
      <c r="AZ46" s="269">
        <v>0</v>
      </c>
      <c r="BA46" s="269">
        <v>0</v>
      </c>
      <c r="BB46" s="269">
        <v>0</v>
      </c>
      <c r="BC46" s="269">
        <v>0</v>
      </c>
      <c r="BD46" s="73">
        <v>175450</v>
      </c>
      <c r="BE46" s="104"/>
      <c r="BF46" s="65"/>
      <c r="BG46" s="65"/>
    </row>
    <row r="47" spans="1:59" ht="18" customHeight="1">
      <c r="A47" s="264"/>
      <c r="B47" s="266"/>
      <c r="C47" s="266"/>
      <c r="D47" s="266"/>
      <c r="E47" s="268"/>
      <c r="F47" s="54">
        <v>115450</v>
      </c>
      <c r="G47" s="268"/>
      <c r="H47" s="268"/>
      <c r="I47" s="268"/>
      <c r="J47" s="270"/>
      <c r="K47" s="272"/>
      <c r="L47" s="274"/>
      <c r="M47" s="266"/>
      <c r="N47" s="266"/>
      <c r="O47" s="266"/>
      <c r="P47" s="270"/>
      <c r="Q47" s="270"/>
      <c r="R47" s="270"/>
      <c r="S47" s="270"/>
      <c r="T47" s="270"/>
      <c r="U47" s="270"/>
      <c r="V47" s="272"/>
      <c r="W47" s="274"/>
      <c r="X47" s="266"/>
      <c r="Y47" s="266"/>
      <c r="Z47" s="266"/>
      <c r="AA47" s="270"/>
      <c r="AB47" s="270"/>
      <c r="AC47" s="270"/>
      <c r="AD47" s="270"/>
      <c r="AE47" s="270"/>
      <c r="AF47" s="270"/>
      <c r="AG47" s="272"/>
      <c r="AH47" s="274"/>
      <c r="AI47" s="266"/>
      <c r="AJ47" s="266"/>
      <c r="AK47" s="266"/>
      <c r="AL47" s="270"/>
      <c r="AM47" s="270"/>
      <c r="AN47" s="270"/>
      <c r="AO47" s="270"/>
      <c r="AP47" s="270"/>
      <c r="AQ47" s="270"/>
      <c r="AR47" s="272"/>
      <c r="AS47" s="274"/>
      <c r="AT47" s="266"/>
      <c r="AU47" s="266"/>
      <c r="AV47" s="266"/>
      <c r="AW47" s="270"/>
      <c r="AX47" s="278"/>
      <c r="AY47" s="270"/>
      <c r="AZ47" s="270"/>
      <c r="BA47" s="270"/>
      <c r="BB47" s="270"/>
      <c r="BC47" s="270"/>
      <c r="BD47" s="73">
        <v>115450</v>
      </c>
      <c r="BE47" s="104"/>
      <c r="BF47" s="65"/>
      <c r="BG47" s="65"/>
    </row>
    <row r="48" spans="1:59" s="37" customFormat="1" ht="15" customHeight="1">
      <c r="A48" s="275" t="s">
        <v>224</v>
      </c>
      <c r="B48" s="275"/>
      <c r="C48" s="275"/>
      <c r="D48" s="275"/>
      <c r="E48" s="77">
        <f t="shared" ref="E48:K48" si="50">+E49</f>
        <v>786054</v>
      </c>
      <c r="F48" s="77">
        <f t="shared" si="50"/>
        <v>32700</v>
      </c>
      <c r="G48" s="77">
        <f t="shared" si="50"/>
        <v>32800</v>
      </c>
      <c r="H48" s="77">
        <f t="shared" si="50"/>
        <v>32800</v>
      </c>
      <c r="I48" s="77">
        <f t="shared" si="50"/>
        <v>32700</v>
      </c>
      <c r="J48" s="77">
        <f t="shared" si="50"/>
        <v>32500</v>
      </c>
      <c r="K48" s="162">
        <f t="shared" si="50"/>
        <v>32100</v>
      </c>
      <c r="L48" s="276" t="s">
        <v>224</v>
      </c>
      <c r="M48" s="275"/>
      <c r="N48" s="275"/>
      <c r="O48" s="275"/>
      <c r="P48" s="77">
        <f>+P49</f>
        <v>31600</v>
      </c>
      <c r="Q48" s="77">
        <f t="shared" ref="Q48:U48" si="51">+Q49</f>
        <v>31000</v>
      </c>
      <c r="R48" s="77">
        <f t="shared" si="51"/>
        <v>30300</v>
      </c>
      <c r="S48" s="77">
        <f t="shared" si="51"/>
        <v>29500</v>
      </c>
      <c r="T48" s="77">
        <f t="shared" si="51"/>
        <v>28600</v>
      </c>
      <c r="U48" s="77">
        <f t="shared" si="51"/>
        <v>27600</v>
      </c>
      <c r="V48" s="162">
        <f>+V49</f>
        <v>26500</v>
      </c>
      <c r="W48" s="276" t="s">
        <v>224</v>
      </c>
      <c r="X48" s="275"/>
      <c r="Y48" s="275"/>
      <c r="Z48" s="275"/>
      <c r="AA48" s="77">
        <f>+AA49</f>
        <v>25400</v>
      </c>
      <c r="AB48" s="77">
        <f>+AB49</f>
        <v>24200</v>
      </c>
      <c r="AC48" s="77">
        <f t="shared" ref="AC48:AE48" si="52">+AC49</f>
        <v>23100</v>
      </c>
      <c r="AD48" s="77">
        <f t="shared" si="52"/>
        <v>22000</v>
      </c>
      <c r="AE48" s="77">
        <f t="shared" si="52"/>
        <v>21000</v>
      </c>
      <c r="AF48" s="77">
        <f>+AF49</f>
        <v>20000</v>
      </c>
      <c r="AG48" s="162">
        <f>+AG49</f>
        <v>19100</v>
      </c>
      <c r="AH48" s="276" t="s">
        <v>224</v>
      </c>
      <c r="AI48" s="275"/>
      <c r="AJ48" s="275"/>
      <c r="AK48" s="275"/>
      <c r="AL48" s="77">
        <f>+AL49</f>
        <v>18200</v>
      </c>
      <c r="AM48" s="77">
        <f>+AM49</f>
        <v>17300</v>
      </c>
      <c r="AN48" s="77">
        <f>+AN49</f>
        <v>16500</v>
      </c>
      <c r="AO48" s="77">
        <f t="shared" ref="AO48:AX48" si="53">+AO49</f>
        <v>15800</v>
      </c>
      <c r="AP48" s="77">
        <f>+AP49</f>
        <v>13600</v>
      </c>
      <c r="AQ48" s="77">
        <f>+AQ49</f>
        <v>13000</v>
      </c>
      <c r="AR48" s="162">
        <f>+AR49</f>
        <v>12500</v>
      </c>
      <c r="AS48" s="276" t="s">
        <v>224</v>
      </c>
      <c r="AT48" s="275"/>
      <c r="AU48" s="275"/>
      <c r="AV48" s="275"/>
      <c r="AW48" s="77">
        <f t="shared" si="53"/>
        <v>12500</v>
      </c>
      <c r="AX48" s="77">
        <f t="shared" si="53"/>
        <v>12500</v>
      </c>
      <c r="AY48" s="77">
        <f>+AY49</f>
        <v>12300</v>
      </c>
      <c r="AZ48" s="77">
        <f>+AZ49</f>
        <v>12200</v>
      </c>
      <c r="BA48" s="77">
        <f>+BA49</f>
        <v>10000</v>
      </c>
      <c r="BB48" s="77">
        <f>+BB49</f>
        <v>11900</v>
      </c>
      <c r="BC48" s="77">
        <f>+BC49</f>
        <v>11800</v>
      </c>
      <c r="BD48" s="164">
        <f>SUM(BD49)</f>
        <v>0</v>
      </c>
      <c r="BE48" s="154"/>
    </row>
    <row r="49" spans="1:57" s="40" customFormat="1" ht="15" customHeight="1">
      <c r="A49" s="245" t="s">
        <v>199</v>
      </c>
      <c r="B49" s="245"/>
      <c r="C49" s="245"/>
      <c r="D49" s="245"/>
      <c r="E49" s="38">
        <f>SUM(E50,E51)</f>
        <v>786054</v>
      </c>
      <c r="F49" s="38">
        <f>SUM(F50,F51)</f>
        <v>32700</v>
      </c>
      <c r="G49" s="92">
        <f t="shared" ref="G49:K49" si="54">SUM(G50,G51)</f>
        <v>32800</v>
      </c>
      <c r="H49" s="92">
        <f t="shared" si="54"/>
        <v>32800</v>
      </c>
      <c r="I49" s="92">
        <f t="shared" si="54"/>
        <v>32700</v>
      </c>
      <c r="J49" s="92">
        <f t="shared" si="54"/>
        <v>32500</v>
      </c>
      <c r="K49" s="44">
        <f t="shared" si="54"/>
        <v>32100</v>
      </c>
      <c r="L49" s="246" t="s">
        <v>199</v>
      </c>
      <c r="M49" s="245"/>
      <c r="N49" s="245"/>
      <c r="O49" s="245"/>
      <c r="P49" s="92">
        <f>SUM(P50,P51)</f>
        <v>31600</v>
      </c>
      <c r="Q49" s="38">
        <f>SUM(Q50,Q51)</f>
        <v>31000</v>
      </c>
      <c r="R49" s="92">
        <f t="shared" ref="R49:U49" si="55">SUM(R50,R51)</f>
        <v>30300</v>
      </c>
      <c r="S49" s="92">
        <f t="shared" si="55"/>
        <v>29500</v>
      </c>
      <c r="T49" s="92">
        <f t="shared" si="55"/>
        <v>28600</v>
      </c>
      <c r="U49" s="92">
        <f t="shared" si="55"/>
        <v>27600</v>
      </c>
      <c r="V49" s="44">
        <f>SUM(V50,V51)</f>
        <v>26500</v>
      </c>
      <c r="W49" s="246" t="s">
        <v>199</v>
      </c>
      <c r="X49" s="245"/>
      <c r="Y49" s="245"/>
      <c r="Z49" s="245"/>
      <c r="AA49" s="92">
        <f>SUM(AA50,AA51)</f>
        <v>25400</v>
      </c>
      <c r="AB49" s="92">
        <f>SUM(AB50,AB51)</f>
        <v>24200</v>
      </c>
      <c r="AC49" s="38">
        <f>SUM(AC50,AC51)</f>
        <v>23100</v>
      </c>
      <c r="AD49" s="92">
        <f t="shared" ref="AD49:AE49" si="56">SUM(AD50,AD51)</f>
        <v>22000</v>
      </c>
      <c r="AE49" s="92">
        <f t="shared" si="56"/>
        <v>21000</v>
      </c>
      <c r="AF49" s="92">
        <f>SUM(AF50,AF51)</f>
        <v>20000</v>
      </c>
      <c r="AG49" s="44">
        <f>SUM(AG50,AG51)</f>
        <v>19100</v>
      </c>
      <c r="AH49" s="246" t="s">
        <v>199</v>
      </c>
      <c r="AI49" s="245"/>
      <c r="AJ49" s="245"/>
      <c r="AK49" s="245"/>
      <c r="AL49" s="92">
        <f t="shared" ref="AL49:AR49" si="57">SUM(AL50,AL51)</f>
        <v>18200</v>
      </c>
      <c r="AM49" s="92">
        <f t="shared" si="57"/>
        <v>17300</v>
      </c>
      <c r="AN49" s="92">
        <f t="shared" si="57"/>
        <v>16500</v>
      </c>
      <c r="AO49" s="38">
        <f t="shared" si="57"/>
        <v>15800</v>
      </c>
      <c r="AP49" s="92">
        <f t="shared" si="57"/>
        <v>13600</v>
      </c>
      <c r="AQ49" s="92">
        <f t="shared" si="57"/>
        <v>13000</v>
      </c>
      <c r="AR49" s="44">
        <f t="shared" si="57"/>
        <v>12500</v>
      </c>
      <c r="AS49" s="246" t="s">
        <v>199</v>
      </c>
      <c r="AT49" s="245"/>
      <c r="AU49" s="245"/>
      <c r="AV49" s="245"/>
      <c r="AW49" s="92">
        <f t="shared" ref="AW49:AY49" si="58">SUM(AW50,AW51)</f>
        <v>12500</v>
      </c>
      <c r="AX49" s="92">
        <f t="shared" si="58"/>
        <v>12500</v>
      </c>
      <c r="AY49" s="92">
        <f t="shared" si="58"/>
        <v>12300</v>
      </c>
      <c r="AZ49" s="92">
        <f>SUM(AZ50,AZ51)</f>
        <v>12200</v>
      </c>
      <c r="BA49" s="38">
        <f>SUM(BA50,BA51)</f>
        <v>10000</v>
      </c>
      <c r="BB49" s="92">
        <f>SUM(BB50,BB51)</f>
        <v>11900</v>
      </c>
      <c r="BC49" s="92">
        <f>SUM(BC50,BC51)</f>
        <v>11800</v>
      </c>
      <c r="BD49" s="44">
        <f t="shared" ref="BD49" si="59">SUM(BD50,BD51)</f>
        <v>0</v>
      </c>
      <c r="BE49" s="96"/>
    </row>
    <row r="50" spans="1:57" s="98" customFormat="1" ht="51.75" customHeight="1">
      <c r="A50" s="180" t="s">
        <v>252</v>
      </c>
      <c r="B50" s="175" t="s">
        <v>210</v>
      </c>
      <c r="C50" s="175">
        <v>1999</v>
      </c>
      <c r="D50" s="175">
        <v>2045</v>
      </c>
      <c r="E50" s="178">
        <v>700000</v>
      </c>
      <c r="F50" s="178">
        <v>27800</v>
      </c>
      <c r="G50" s="178">
        <v>27900</v>
      </c>
      <c r="H50" s="178">
        <v>27900</v>
      </c>
      <c r="I50" s="49">
        <v>27800</v>
      </c>
      <c r="J50" s="49">
        <v>27700</v>
      </c>
      <c r="K50" s="73">
        <v>27300</v>
      </c>
      <c r="L50" s="174" t="s">
        <v>252</v>
      </c>
      <c r="M50" s="175" t="s">
        <v>210</v>
      </c>
      <c r="N50" s="175">
        <v>1999</v>
      </c>
      <c r="O50" s="175">
        <v>2045</v>
      </c>
      <c r="P50" s="49">
        <v>26900</v>
      </c>
      <c r="Q50" s="49">
        <v>26400</v>
      </c>
      <c r="R50" s="49">
        <v>26046</v>
      </c>
      <c r="S50" s="49">
        <v>25500</v>
      </c>
      <c r="T50" s="49">
        <v>24800</v>
      </c>
      <c r="U50" s="49">
        <v>24000</v>
      </c>
      <c r="V50" s="73">
        <v>23100</v>
      </c>
      <c r="W50" s="174" t="s">
        <v>252</v>
      </c>
      <c r="X50" s="175" t="s">
        <v>210</v>
      </c>
      <c r="Y50" s="175">
        <v>1999</v>
      </c>
      <c r="Z50" s="175">
        <v>2045</v>
      </c>
      <c r="AA50" s="49">
        <v>22100</v>
      </c>
      <c r="AB50" s="49">
        <v>21000</v>
      </c>
      <c r="AC50" s="49">
        <v>20000</v>
      </c>
      <c r="AD50" s="49">
        <v>19000</v>
      </c>
      <c r="AE50" s="49">
        <v>18100</v>
      </c>
      <c r="AF50" s="49">
        <v>17200</v>
      </c>
      <c r="AG50" s="73">
        <v>16400</v>
      </c>
      <c r="AH50" s="174" t="s">
        <v>252</v>
      </c>
      <c r="AI50" s="175" t="s">
        <v>210</v>
      </c>
      <c r="AJ50" s="175">
        <v>1999</v>
      </c>
      <c r="AK50" s="175">
        <v>2045</v>
      </c>
      <c r="AL50" s="49">
        <v>15600</v>
      </c>
      <c r="AM50" s="49">
        <v>14800</v>
      </c>
      <c r="AN50" s="49">
        <v>14100</v>
      </c>
      <c r="AO50" s="49">
        <v>15800</v>
      </c>
      <c r="AP50" s="49">
        <v>13600</v>
      </c>
      <c r="AQ50" s="49">
        <v>13000</v>
      </c>
      <c r="AR50" s="73">
        <v>12500</v>
      </c>
      <c r="AS50" s="174" t="s">
        <v>252</v>
      </c>
      <c r="AT50" s="175" t="s">
        <v>210</v>
      </c>
      <c r="AU50" s="175">
        <v>1999</v>
      </c>
      <c r="AV50" s="175">
        <v>2045</v>
      </c>
      <c r="AW50" s="49">
        <v>12500</v>
      </c>
      <c r="AX50" s="49">
        <v>12500</v>
      </c>
      <c r="AY50" s="49">
        <v>12300</v>
      </c>
      <c r="AZ50" s="49">
        <v>12200</v>
      </c>
      <c r="BA50" s="49">
        <v>10000</v>
      </c>
      <c r="BB50" s="49">
        <v>11900</v>
      </c>
      <c r="BC50" s="49">
        <v>11800</v>
      </c>
      <c r="BD50" s="166">
        <v>0</v>
      </c>
      <c r="BE50" s="204"/>
    </row>
    <row r="51" spans="1:57" s="98" customFormat="1" ht="51.75" customHeight="1">
      <c r="A51" s="205" t="s">
        <v>251</v>
      </c>
      <c r="B51" s="206" t="s">
        <v>210</v>
      </c>
      <c r="C51" s="206">
        <v>2001</v>
      </c>
      <c r="D51" s="206">
        <v>2034</v>
      </c>
      <c r="E51" s="207">
        <v>86054</v>
      </c>
      <c r="F51" s="207">
        <v>4900</v>
      </c>
      <c r="G51" s="207">
        <v>4900</v>
      </c>
      <c r="H51" s="207">
        <v>4900</v>
      </c>
      <c r="I51" s="208">
        <v>4900</v>
      </c>
      <c r="J51" s="208">
        <v>4800</v>
      </c>
      <c r="K51" s="209">
        <v>4800</v>
      </c>
      <c r="L51" s="210" t="s">
        <v>251</v>
      </c>
      <c r="M51" s="206" t="s">
        <v>210</v>
      </c>
      <c r="N51" s="206">
        <v>2001</v>
      </c>
      <c r="O51" s="206">
        <v>2034</v>
      </c>
      <c r="P51" s="208">
        <v>4700</v>
      </c>
      <c r="Q51" s="208">
        <v>4600</v>
      </c>
      <c r="R51" s="208">
        <v>4254</v>
      </c>
      <c r="S51" s="208">
        <v>4000</v>
      </c>
      <c r="T51" s="208">
        <v>3800</v>
      </c>
      <c r="U51" s="208">
        <v>3600</v>
      </c>
      <c r="V51" s="209">
        <v>3400</v>
      </c>
      <c r="W51" s="210" t="s">
        <v>251</v>
      </c>
      <c r="X51" s="206" t="s">
        <v>210</v>
      </c>
      <c r="Y51" s="206">
        <v>2001</v>
      </c>
      <c r="Z51" s="206">
        <v>2034</v>
      </c>
      <c r="AA51" s="208">
        <v>3300</v>
      </c>
      <c r="AB51" s="208">
        <v>3200</v>
      </c>
      <c r="AC51" s="208">
        <v>3100</v>
      </c>
      <c r="AD51" s="208">
        <v>3000</v>
      </c>
      <c r="AE51" s="208">
        <v>2900</v>
      </c>
      <c r="AF51" s="208">
        <v>2800</v>
      </c>
      <c r="AG51" s="209">
        <v>2700</v>
      </c>
      <c r="AH51" s="210" t="s">
        <v>251</v>
      </c>
      <c r="AI51" s="206" t="s">
        <v>210</v>
      </c>
      <c r="AJ51" s="206">
        <v>2001</v>
      </c>
      <c r="AK51" s="206">
        <v>2034</v>
      </c>
      <c r="AL51" s="208">
        <v>2600</v>
      </c>
      <c r="AM51" s="208">
        <v>2500</v>
      </c>
      <c r="AN51" s="208">
        <v>2400</v>
      </c>
      <c r="AO51" s="208">
        <v>0</v>
      </c>
      <c r="AP51" s="208">
        <v>0</v>
      </c>
      <c r="AQ51" s="208">
        <v>0</v>
      </c>
      <c r="AR51" s="209">
        <v>0</v>
      </c>
      <c r="AS51" s="210" t="s">
        <v>251</v>
      </c>
      <c r="AT51" s="206" t="s">
        <v>210</v>
      </c>
      <c r="AU51" s="206">
        <v>2001</v>
      </c>
      <c r="AV51" s="206">
        <v>2034</v>
      </c>
      <c r="AW51" s="208">
        <v>0</v>
      </c>
      <c r="AX51" s="208">
        <v>0</v>
      </c>
      <c r="AY51" s="208">
        <v>0</v>
      </c>
      <c r="AZ51" s="208">
        <v>0</v>
      </c>
      <c r="BA51" s="208">
        <v>0</v>
      </c>
      <c r="BB51" s="208">
        <v>0</v>
      </c>
      <c r="BC51" s="208">
        <v>0</v>
      </c>
      <c r="BD51" s="211">
        <v>0</v>
      </c>
      <c r="BE51" s="204"/>
    </row>
    <row r="52" spans="1:57">
      <c r="A52" s="80" t="s">
        <v>225</v>
      </c>
      <c r="B52" s="81"/>
      <c r="C52" s="82" t="s">
        <v>226</v>
      </c>
      <c r="D52" s="83"/>
      <c r="E52" s="83"/>
      <c r="F52" s="78"/>
      <c r="G52" s="78"/>
      <c r="L52" s="80"/>
      <c r="M52" s="81"/>
      <c r="N52" s="82"/>
      <c r="O52" s="83"/>
      <c r="W52" s="80"/>
      <c r="X52" s="81"/>
      <c r="Y52" s="82"/>
      <c r="Z52" s="83"/>
      <c r="AH52" s="80"/>
      <c r="AI52" s="81"/>
      <c r="AJ52" s="82"/>
      <c r="AK52" s="83"/>
      <c r="AS52" s="80"/>
      <c r="AT52" s="81"/>
      <c r="AU52" s="82"/>
      <c r="AV52" s="83"/>
      <c r="BE52" s="104"/>
    </row>
    <row r="53" spans="1:57">
      <c r="A53" s="80" t="s">
        <v>227</v>
      </c>
      <c r="B53" s="81"/>
      <c r="C53" s="82" t="s">
        <v>228</v>
      </c>
      <c r="D53" s="82"/>
      <c r="E53" s="83"/>
      <c r="F53" s="78"/>
      <c r="G53" s="78"/>
      <c r="L53" s="80"/>
      <c r="M53" s="81"/>
      <c r="N53" s="82"/>
      <c r="O53" s="82"/>
      <c r="W53" s="80"/>
      <c r="X53" s="81"/>
      <c r="Y53" s="82"/>
      <c r="Z53" s="82"/>
      <c r="AH53" s="80"/>
      <c r="AI53" s="81"/>
      <c r="AJ53" s="82"/>
      <c r="AK53" s="82"/>
      <c r="AS53" s="80"/>
      <c r="AT53" s="81"/>
      <c r="AU53" s="82"/>
      <c r="AV53" s="82"/>
      <c r="BB53" s="79" t="s">
        <v>150</v>
      </c>
      <c r="BE53" s="104"/>
    </row>
    <row r="54" spans="1:57">
      <c r="A54" s="80" t="s">
        <v>229</v>
      </c>
      <c r="B54" s="81"/>
      <c r="C54" s="80"/>
      <c r="D54" s="80"/>
      <c r="E54" s="80"/>
      <c r="L54" s="80"/>
      <c r="M54" s="81"/>
      <c r="N54" s="80"/>
      <c r="O54" s="80"/>
      <c r="W54" s="80"/>
      <c r="X54" s="81"/>
      <c r="Y54" s="80"/>
      <c r="Z54" s="80"/>
      <c r="AH54" s="80"/>
      <c r="AI54" s="81"/>
      <c r="AJ54" s="80"/>
      <c r="AK54" s="80"/>
      <c r="AS54" s="80"/>
      <c r="AT54" s="81"/>
      <c r="AU54" s="80"/>
      <c r="AV54" s="80"/>
      <c r="BB54" s="79"/>
      <c r="BE54" s="104"/>
    </row>
    <row r="55" spans="1:57">
      <c r="B55" s="29"/>
      <c r="F55" s="217"/>
      <c r="BB55" s="79" t="s">
        <v>230</v>
      </c>
      <c r="BE55" s="104"/>
    </row>
    <row r="56" spans="1:57">
      <c r="B56" s="29"/>
      <c r="F56" s="217"/>
    </row>
    <row r="57" spans="1:57">
      <c r="B57" s="29"/>
    </row>
  </sheetData>
  <mergeCells count="653">
    <mergeCell ref="AS23:AS24"/>
    <mergeCell ref="AT23:AT24"/>
    <mergeCell ref="AU23:AU24"/>
    <mergeCell ref="AV23:AV24"/>
    <mergeCell ref="AS25:AV26"/>
    <mergeCell ref="AS48:AV48"/>
    <mergeCell ref="AS49:AV49"/>
    <mergeCell ref="AS27:AV27"/>
    <mergeCell ref="AS33:AS34"/>
    <mergeCell ref="AT33:AT34"/>
    <mergeCell ref="AU33:AV33"/>
    <mergeCell ref="AS39:AV40"/>
    <mergeCell ref="AS41:AS42"/>
    <mergeCell ref="AT41:AT42"/>
    <mergeCell ref="AU41:AU42"/>
    <mergeCell ref="AV41:AV42"/>
    <mergeCell ref="AS43:AS44"/>
    <mergeCell ref="AT43:AT44"/>
    <mergeCell ref="AU43:AU44"/>
    <mergeCell ref="AV43:AV44"/>
    <mergeCell ref="AS3:AS4"/>
    <mergeCell ref="AT3:AT4"/>
    <mergeCell ref="AU3:AV3"/>
    <mergeCell ref="AS5:AV6"/>
    <mergeCell ref="AS7:AV7"/>
    <mergeCell ref="AS8:AV9"/>
    <mergeCell ref="AS10:AV11"/>
    <mergeCell ref="AS12:AV12"/>
    <mergeCell ref="A49:D49"/>
    <mergeCell ref="L49:O49"/>
    <mergeCell ref="W49:Z49"/>
    <mergeCell ref="AH49:AK49"/>
    <mergeCell ref="AF46:AF47"/>
    <mergeCell ref="AG46:AG47"/>
    <mergeCell ref="AL46:AL47"/>
    <mergeCell ref="AS46:AS47"/>
    <mergeCell ref="AT46:AT47"/>
    <mergeCell ref="AU46:AU47"/>
    <mergeCell ref="AV46:AV47"/>
    <mergeCell ref="AA46:AA47"/>
    <mergeCell ref="AB46:AB47"/>
    <mergeCell ref="W46:W47"/>
    <mergeCell ref="X46:X47"/>
    <mergeCell ref="Y46:Y47"/>
    <mergeCell ref="BA46:BA47"/>
    <mergeCell ref="BB46:BB47"/>
    <mergeCell ref="BC46:BC47"/>
    <mergeCell ref="A48:D48"/>
    <mergeCell ref="L48:O48"/>
    <mergeCell ref="W48:Z48"/>
    <mergeCell ref="AH48:AK48"/>
    <mergeCell ref="AY46:AY47"/>
    <mergeCell ref="AZ46:AZ47"/>
    <mergeCell ref="AO46:AO47"/>
    <mergeCell ref="AP46:AP47"/>
    <mergeCell ref="AQ46:AQ47"/>
    <mergeCell ref="AR46:AR47"/>
    <mergeCell ref="AW46:AW47"/>
    <mergeCell ref="AX46:AX47"/>
    <mergeCell ref="AM46:AM47"/>
    <mergeCell ref="AN46:AN47"/>
    <mergeCell ref="AH46:AH47"/>
    <mergeCell ref="AI46:AI47"/>
    <mergeCell ref="AJ46:AJ47"/>
    <mergeCell ref="AK46:AK47"/>
    <mergeCell ref="AC46:AC47"/>
    <mergeCell ref="AD46:AD47"/>
    <mergeCell ref="AE46:AE47"/>
    <mergeCell ref="Z46:Z47"/>
    <mergeCell ref="Q46:Q47"/>
    <mergeCell ref="R46:R47"/>
    <mergeCell ref="S46:S47"/>
    <mergeCell ref="T46:T47"/>
    <mergeCell ref="U46:U47"/>
    <mergeCell ref="V46:V47"/>
    <mergeCell ref="K46:K47"/>
    <mergeCell ref="P46:P47"/>
    <mergeCell ref="L46:L47"/>
    <mergeCell ref="M46:M47"/>
    <mergeCell ref="N46:N47"/>
    <mergeCell ref="O46:O47"/>
    <mergeCell ref="BC43:BC44"/>
    <mergeCell ref="A46:A47"/>
    <mergeCell ref="B46:B47"/>
    <mergeCell ref="C46:C47"/>
    <mergeCell ref="D46:D47"/>
    <mergeCell ref="E46:E47"/>
    <mergeCell ref="G46:G47"/>
    <mergeCell ref="H46:H47"/>
    <mergeCell ref="I46:I47"/>
    <mergeCell ref="J46:J47"/>
    <mergeCell ref="BA43:BA44"/>
    <mergeCell ref="BB43:BB44"/>
    <mergeCell ref="AQ43:AQ44"/>
    <mergeCell ref="AR43:AR44"/>
    <mergeCell ref="AW43:AW44"/>
    <mergeCell ref="AX43:AX44"/>
    <mergeCell ref="AY43:AY44"/>
    <mergeCell ref="AZ43:AZ44"/>
    <mergeCell ref="AH43:AH44"/>
    <mergeCell ref="AI43:AI44"/>
    <mergeCell ref="AJ43:AJ44"/>
    <mergeCell ref="AK43:AK44"/>
    <mergeCell ref="AO43:AO44"/>
    <mergeCell ref="AP43:AP44"/>
    <mergeCell ref="AE43:AE44"/>
    <mergeCell ref="AF43:AF44"/>
    <mergeCell ref="AG43:AG44"/>
    <mergeCell ref="AL43:AL44"/>
    <mergeCell ref="AM43:AM44"/>
    <mergeCell ref="AN43:AN44"/>
    <mergeCell ref="W43:W44"/>
    <mergeCell ref="X43:X44"/>
    <mergeCell ref="Y43:Y44"/>
    <mergeCell ref="Z43:Z44"/>
    <mergeCell ref="AC43:AC44"/>
    <mergeCell ref="AD43:AD44"/>
    <mergeCell ref="U43:U44"/>
    <mergeCell ref="V43:V44"/>
    <mergeCell ref="AA43:AA44"/>
    <mergeCell ref="AB43:AB44"/>
    <mergeCell ref="L43:L44"/>
    <mergeCell ref="M43:M44"/>
    <mergeCell ref="N43:N44"/>
    <mergeCell ref="O43:O44"/>
    <mergeCell ref="Q43:Q44"/>
    <mergeCell ref="R43:R44"/>
    <mergeCell ref="G43:G44"/>
    <mergeCell ref="H43:H44"/>
    <mergeCell ref="I43:I44"/>
    <mergeCell ref="J43:J44"/>
    <mergeCell ref="K43:K44"/>
    <mergeCell ref="P43:P44"/>
    <mergeCell ref="BA41:BA42"/>
    <mergeCell ref="AI41:AI42"/>
    <mergeCell ref="Y41:Y42"/>
    <mergeCell ref="Z41:Z42"/>
    <mergeCell ref="AC41:AC42"/>
    <mergeCell ref="AD41:AD42"/>
    <mergeCell ref="AE41:AE42"/>
    <mergeCell ref="AF41:AF42"/>
    <mergeCell ref="U41:U42"/>
    <mergeCell ref="V41:V42"/>
    <mergeCell ref="AA41:AA42"/>
    <mergeCell ref="AB41:AB42"/>
    <mergeCell ref="W41:W42"/>
    <mergeCell ref="X41:X42"/>
    <mergeCell ref="N41:N42"/>
    <mergeCell ref="O41:O42"/>
    <mergeCell ref="S43:S44"/>
    <mergeCell ref="T43:T44"/>
    <mergeCell ref="BB41:BB42"/>
    <mergeCell ref="BC41:BC42"/>
    <mergeCell ref="A43:A44"/>
    <mergeCell ref="B43:B44"/>
    <mergeCell ref="C43:C44"/>
    <mergeCell ref="D43:D44"/>
    <mergeCell ref="E43:E44"/>
    <mergeCell ref="AW41:AW42"/>
    <mergeCell ref="AX41:AX42"/>
    <mergeCell ref="AY41:AY42"/>
    <mergeCell ref="AZ41:AZ42"/>
    <mergeCell ref="AJ41:AJ42"/>
    <mergeCell ref="AK41:AK42"/>
    <mergeCell ref="AO41:AO42"/>
    <mergeCell ref="AP41:AP42"/>
    <mergeCell ref="AQ41:AQ42"/>
    <mergeCell ref="AR41:AR42"/>
    <mergeCell ref="AG41:AG42"/>
    <mergeCell ref="AL41:AL42"/>
    <mergeCell ref="AM41:AM42"/>
    <mergeCell ref="AN41:AN42"/>
    <mergeCell ref="AH41:AH42"/>
    <mergeCell ref="A41:A42"/>
    <mergeCell ref="B41:B42"/>
    <mergeCell ref="AC39:AC40"/>
    <mergeCell ref="AD39:AD40"/>
    <mergeCell ref="C41:C42"/>
    <mergeCell ref="D41:D42"/>
    <mergeCell ref="E41:E42"/>
    <mergeCell ref="G41:G42"/>
    <mergeCell ref="H41:H42"/>
    <mergeCell ref="AR39:AR40"/>
    <mergeCell ref="AW39:AW40"/>
    <mergeCell ref="Q41:Q42"/>
    <mergeCell ref="R41:R42"/>
    <mergeCell ref="S41:S42"/>
    <mergeCell ref="T41:T42"/>
    <mergeCell ref="I41:I42"/>
    <mergeCell ref="J41:J42"/>
    <mergeCell ref="K41:K42"/>
    <mergeCell ref="P41:P42"/>
    <mergeCell ref="L41:L42"/>
    <mergeCell ref="M41:M42"/>
    <mergeCell ref="AM39:AM40"/>
    <mergeCell ref="AN39:AN40"/>
    <mergeCell ref="AH39:AK40"/>
    <mergeCell ref="AO39:AO40"/>
    <mergeCell ref="AP39:AP40"/>
    <mergeCell ref="AA39:AA40"/>
    <mergeCell ref="AB39:AB40"/>
    <mergeCell ref="W39:Z40"/>
    <mergeCell ref="R39:R40"/>
    <mergeCell ref="S39:S40"/>
    <mergeCell ref="T33:T34"/>
    <mergeCell ref="U33:U34"/>
    <mergeCell ref="V33:V34"/>
    <mergeCell ref="AA33:AA34"/>
    <mergeCell ref="AB33:AB34"/>
    <mergeCell ref="W33:W34"/>
    <mergeCell ref="BA33:BA34"/>
    <mergeCell ref="BB33:BB34"/>
    <mergeCell ref="BC33:BC34"/>
    <mergeCell ref="AI33:AI34"/>
    <mergeCell ref="X33:X34"/>
    <mergeCell ref="Y33:Z33"/>
    <mergeCell ref="AC33:AC34"/>
    <mergeCell ref="AD33:AD34"/>
    <mergeCell ref="AE33:AE34"/>
    <mergeCell ref="AF33:AF34"/>
    <mergeCell ref="AX33:AX34"/>
    <mergeCell ref="AY33:AY34"/>
    <mergeCell ref="AZ33:AZ34"/>
    <mergeCell ref="AJ33:AK33"/>
    <mergeCell ref="AO33:AO34"/>
    <mergeCell ref="AP33:AP34"/>
    <mergeCell ref="AQ33:AQ34"/>
    <mergeCell ref="AR33:AR34"/>
    <mergeCell ref="AW33:AW34"/>
    <mergeCell ref="AG33:AG34"/>
    <mergeCell ref="AL33:AL34"/>
    <mergeCell ref="AM33:AM34"/>
    <mergeCell ref="AN33:AN34"/>
    <mergeCell ref="AH33:AH34"/>
    <mergeCell ref="BA39:BA40"/>
    <mergeCell ref="BB39:BB40"/>
    <mergeCell ref="BC39:BC40"/>
    <mergeCell ref="AX39:AX40"/>
    <mergeCell ref="AY39:AY40"/>
    <mergeCell ref="AZ39:AZ40"/>
    <mergeCell ref="A39:D40"/>
    <mergeCell ref="E39:E40"/>
    <mergeCell ref="G39:G40"/>
    <mergeCell ref="H39:H40"/>
    <mergeCell ref="I39:I40"/>
    <mergeCell ref="J39:J40"/>
    <mergeCell ref="K39:K40"/>
    <mergeCell ref="P39:P40"/>
    <mergeCell ref="L39:O40"/>
    <mergeCell ref="Q39:Q40"/>
    <mergeCell ref="AQ39:AQ40"/>
    <mergeCell ref="AE39:AE40"/>
    <mergeCell ref="AF39:AF40"/>
    <mergeCell ref="AG39:AG40"/>
    <mergeCell ref="AL39:AL40"/>
    <mergeCell ref="T39:T40"/>
    <mergeCell ref="U39:U40"/>
    <mergeCell ref="V39:V40"/>
    <mergeCell ref="A33:A34"/>
    <mergeCell ref="B33:B34"/>
    <mergeCell ref="C33:D33"/>
    <mergeCell ref="E33:E34"/>
    <mergeCell ref="F33:F34"/>
    <mergeCell ref="N33:O33"/>
    <mergeCell ref="Q33:Q34"/>
    <mergeCell ref="R33:R34"/>
    <mergeCell ref="S33:S34"/>
    <mergeCell ref="G33:G34"/>
    <mergeCell ref="H33:H34"/>
    <mergeCell ref="I33:I34"/>
    <mergeCell ref="J33:J34"/>
    <mergeCell ref="K33:K34"/>
    <mergeCell ref="P33:P34"/>
    <mergeCell ref="L33:L34"/>
    <mergeCell ref="M33:M34"/>
    <mergeCell ref="BD33:BD34"/>
    <mergeCell ref="BB25:BB26"/>
    <mergeCell ref="BC25:BC26"/>
    <mergeCell ref="A27:D27"/>
    <mergeCell ref="L27:O27"/>
    <mergeCell ref="W27:Z27"/>
    <mergeCell ref="AH27:AK27"/>
    <mergeCell ref="AW25:AW26"/>
    <mergeCell ref="AX25:AX26"/>
    <mergeCell ref="AY25:AY26"/>
    <mergeCell ref="AZ25:AZ26"/>
    <mergeCell ref="BA25:BA26"/>
    <mergeCell ref="AN25:AN26"/>
    <mergeCell ref="AH25:AK26"/>
    <mergeCell ref="AO25:AO26"/>
    <mergeCell ref="AP25:AP26"/>
    <mergeCell ref="AQ25:AQ26"/>
    <mergeCell ref="AR25:AR26"/>
    <mergeCell ref="AD25:AD26"/>
    <mergeCell ref="AE25:AE26"/>
    <mergeCell ref="AF25:AF26"/>
    <mergeCell ref="AG25:AG26"/>
    <mergeCell ref="AL25:AL26"/>
    <mergeCell ref="AM25:AM26"/>
    <mergeCell ref="U25:U26"/>
    <mergeCell ref="V25:V26"/>
    <mergeCell ref="AA25:AA26"/>
    <mergeCell ref="AB25:AB26"/>
    <mergeCell ref="W25:Z26"/>
    <mergeCell ref="AC25:AC26"/>
    <mergeCell ref="P25:P26"/>
    <mergeCell ref="L25:O26"/>
    <mergeCell ref="Q25:Q26"/>
    <mergeCell ref="R25:R26"/>
    <mergeCell ref="S25:S26"/>
    <mergeCell ref="T25:T26"/>
    <mergeCell ref="BA23:BA24"/>
    <mergeCell ref="BB23:BB24"/>
    <mergeCell ref="BC23:BC24"/>
    <mergeCell ref="A25:D26"/>
    <mergeCell ref="E25:E26"/>
    <mergeCell ref="G25:G26"/>
    <mergeCell ref="H25:H26"/>
    <mergeCell ref="I25:I26"/>
    <mergeCell ref="J25:J26"/>
    <mergeCell ref="K25:K26"/>
    <mergeCell ref="AY23:AY24"/>
    <mergeCell ref="AZ23:AZ24"/>
    <mergeCell ref="AO23:AO24"/>
    <mergeCell ref="AP23:AP24"/>
    <mergeCell ref="AQ23:AQ24"/>
    <mergeCell ref="AR23:AR24"/>
    <mergeCell ref="AW23:AW24"/>
    <mergeCell ref="AX23:AX24"/>
    <mergeCell ref="AM23:AM24"/>
    <mergeCell ref="AN23:AN24"/>
    <mergeCell ref="AH23:AH24"/>
    <mergeCell ref="AI23:AI24"/>
    <mergeCell ref="AJ23:AJ24"/>
    <mergeCell ref="AK23:AK24"/>
    <mergeCell ref="AC23:AC24"/>
    <mergeCell ref="AD23:AD24"/>
    <mergeCell ref="AE23:AE24"/>
    <mergeCell ref="AF23:AF24"/>
    <mergeCell ref="AG23:AG24"/>
    <mergeCell ref="AL23:AL24"/>
    <mergeCell ref="AA23:AA24"/>
    <mergeCell ref="AB23:AB24"/>
    <mergeCell ref="W23:W24"/>
    <mergeCell ref="X23:X24"/>
    <mergeCell ref="Y23:Y24"/>
    <mergeCell ref="Z23:Z24"/>
    <mergeCell ref="R23:R24"/>
    <mergeCell ref="S23:S24"/>
    <mergeCell ref="T23:T24"/>
    <mergeCell ref="U23:U24"/>
    <mergeCell ref="V23:V24"/>
    <mergeCell ref="K23:K24"/>
    <mergeCell ref="P23:P24"/>
    <mergeCell ref="L23:L24"/>
    <mergeCell ref="M23:M24"/>
    <mergeCell ref="N23:N24"/>
    <mergeCell ref="O23:O24"/>
    <mergeCell ref="BC21:BC22"/>
    <mergeCell ref="A23:A24"/>
    <mergeCell ref="B23:B24"/>
    <mergeCell ref="C23:C24"/>
    <mergeCell ref="D23:D24"/>
    <mergeCell ref="E23:E24"/>
    <mergeCell ref="H23:H24"/>
    <mergeCell ref="I23:I24"/>
    <mergeCell ref="J23:J24"/>
    <mergeCell ref="AW21:AW22"/>
    <mergeCell ref="AX21:AX22"/>
    <mergeCell ref="AY21:AY22"/>
    <mergeCell ref="AZ21:AZ22"/>
    <mergeCell ref="BA21:BA22"/>
    <mergeCell ref="AN21:AN22"/>
    <mergeCell ref="AH21:AK22"/>
    <mergeCell ref="AO21:AO22"/>
    <mergeCell ref="AP21:AP22"/>
    <mergeCell ref="AQ21:AQ22"/>
    <mergeCell ref="AR21:AR22"/>
    <mergeCell ref="AD21:AD22"/>
    <mergeCell ref="AE21:AE22"/>
    <mergeCell ref="AF21:AF22"/>
    <mergeCell ref="Q23:Q24"/>
    <mergeCell ref="AG21:AG22"/>
    <mergeCell ref="AL21:AL22"/>
    <mergeCell ref="AM21:AM22"/>
    <mergeCell ref="BB15:BB16"/>
    <mergeCell ref="AH15:AK16"/>
    <mergeCell ref="AO15:AO16"/>
    <mergeCell ref="AP15:AP16"/>
    <mergeCell ref="AQ15:AQ16"/>
    <mergeCell ref="AR15:AR16"/>
    <mergeCell ref="AW15:AW16"/>
    <mergeCell ref="AY15:AY16"/>
    <mergeCell ref="AZ15:AZ16"/>
    <mergeCell ref="BB21:BB22"/>
    <mergeCell ref="AS15:AV16"/>
    <mergeCell ref="AS17:AV17"/>
    <mergeCell ref="AS21:AV22"/>
    <mergeCell ref="A17:D17"/>
    <mergeCell ref="L17:O17"/>
    <mergeCell ref="W17:Z17"/>
    <mergeCell ref="AH17:AK17"/>
    <mergeCell ref="AX15:AX16"/>
    <mergeCell ref="L15:O16"/>
    <mergeCell ref="Q15:Q16"/>
    <mergeCell ref="R15:R16"/>
    <mergeCell ref="S15:S16"/>
    <mergeCell ref="T15:T16"/>
    <mergeCell ref="U15:U16"/>
    <mergeCell ref="AE15:AE16"/>
    <mergeCell ref="AF15:AF16"/>
    <mergeCell ref="AG15:AG16"/>
    <mergeCell ref="AL15:AL16"/>
    <mergeCell ref="AM15:AM16"/>
    <mergeCell ref="AN15:AN16"/>
    <mergeCell ref="V15:V16"/>
    <mergeCell ref="AA15:AA16"/>
    <mergeCell ref="A21:D22"/>
    <mergeCell ref="E21:E22"/>
    <mergeCell ref="H21:H22"/>
    <mergeCell ref="I21:I22"/>
    <mergeCell ref="J21:J22"/>
    <mergeCell ref="K21:K22"/>
    <mergeCell ref="U21:U22"/>
    <mergeCell ref="V21:V22"/>
    <mergeCell ref="AA21:AA22"/>
    <mergeCell ref="AB21:AB22"/>
    <mergeCell ref="W21:Z22"/>
    <mergeCell ref="AC21:AC22"/>
    <mergeCell ref="P21:P22"/>
    <mergeCell ref="L21:O22"/>
    <mergeCell ref="Q21:Q22"/>
    <mergeCell ref="R21:R22"/>
    <mergeCell ref="S21:S22"/>
    <mergeCell ref="T21:T22"/>
    <mergeCell ref="BA13:BA14"/>
    <mergeCell ref="BB13:BB14"/>
    <mergeCell ref="BC13:BC14"/>
    <mergeCell ref="AX13:AX14"/>
    <mergeCell ref="AY13:AY14"/>
    <mergeCell ref="AZ13:AZ14"/>
    <mergeCell ref="AA13:AA14"/>
    <mergeCell ref="AB13:AB14"/>
    <mergeCell ref="W13:Z14"/>
    <mergeCell ref="AR13:AR14"/>
    <mergeCell ref="AW13:AW14"/>
    <mergeCell ref="AM13:AM14"/>
    <mergeCell ref="AN13:AN14"/>
    <mergeCell ref="AH13:AK14"/>
    <mergeCell ref="AO13:AO14"/>
    <mergeCell ref="AP13:AP14"/>
    <mergeCell ref="AQ13:AQ14"/>
    <mergeCell ref="AC13:AC14"/>
    <mergeCell ref="AD13:AD14"/>
    <mergeCell ref="AE13:AE14"/>
    <mergeCell ref="AF13:AF14"/>
    <mergeCell ref="AG13:AG14"/>
    <mergeCell ref="AL13:AL14"/>
    <mergeCell ref="AS13:AV14"/>
    <mergeCell ref="BC15:BC16"/>
    <mergeCell ref="BA15:BA16"/>
    <mergeCell ref="A15:D16"/>
    <mergeCell ref="E15:E16"/>
    <mergeCell ref="H15:H16"/>
    <mergeCell ref="I15:I16"/>
    <mergeCell ref="J15:J16"/>
    <mergeCell ref="K15:K16"/>
    <mergeCell ref="P15:P16"/>
    <mergeCell ref="AB15:AB16"/>
    <mergeCell ref="W15:Z16"/>
    <mergeCell ref="AC15:AC16"/>
    <mergeCell ref="AD15:AD16"/>
    <mergeCell ref="A13:D14"/>
    <mergeCell ref="E13:E14"/>
    <mergeCell ref="H13:H14"/>
    <mergeCell ref="I13:I14"/>
    <mergeCell ref="J13:J14"/>
    <mergeCell ref="T13:T14"/>
    <mergeCell ref="U13:U14"/>
    <mergeCell ref="V13:V14"/>
    <mergeCell ref="K13:K14"/>
    <mergeCell ref="P13:P14"/>
    <mergeCell ref="L13:O14"/>
    <mergeCell ref="Q13:Q14"/>
    <mergeCell ref="R13:R14"/>
    <mergeCell ref="S13:S14"/>
    <mergeCell ref="AM10:AM11"/>
    <mergeCell ref="AN10:AN11"/>
    <mergeCell ref="AH10:AK11"/>
    <mergeCell ref="AA10:AA11"/>
    <mergeCell ref="AB10:AB11"/>
    <mergeCell ref="A12:D12"/>
    <mergeCell ref="L12:O12"/>
    <mergeCell ref="W12:Z12"/>
    <mergeCell ref="AH12:AK12"/>
    <mergeCell ref="W10:Z11"/>
    <mergeCell ref="AC10:AC11"/>
    <mergeCell ref="AD10:AD11"/>
    <mergeCell ref="AE10:AE11"/>
    <mergeCell ref="Q10:Q11"/>
    <mergeCell ref="R10:R11"/>
    <mergeCell ref="S10:S11"/>
    <mergeCell ref="T10:T11"/>
    <mergeCell ref="U10:U11"/>
    <mergeCell ref="V10:V11"/>
    <mergeCell ref="AF10:AF11"/>
    <mergeCell ref="AG10:AG11"/>
    <mergeCell ref="AL10:AL11"/>
    <mergeCell ref="BA10:BA11"/>
    <mergeCell ref="BB10:BB11"/>
    <mergeCell ref="BC10:BC11"/>
    <mergeCell ref="AO10:AO11"/>
    <mergeCell ref="AP10:AP11"/>
    <mergeCell ref="AQ10:AQ11"/>
    <mergeCell ref="AR10:AR11"/>
    <mergeCell ref="AW10:AW11"/>
    <mergeCell ref="AX10:AX11"/>
    <mergeCell ref="AY10:AY11"/>
    <mergeCell ref="AZ10:AZ11"/>
    <mergeCell ref="BB8:BB9"/>
    <mergeCell ref="BC8:BC9"/>
    <mergeCell ref="A10:D11"/>
    <mergeCell ref="E10:E11"/>
    <mergeCell ref="H10:H11"/>
    <mergeCell ref="I10:I11"/>
    <mergeCell ref="J10:J11"/>
    <mergeCell ref="K10:K11"/>
    <mergeCell ref="P10:P11"/>
    <mergeCell ref="L10:O11"/>
    <mergeCell ref="AW8:AW9"/>
    <mergeCell ref="AX8:AX9"/>
    <mergeCell ref="AY8:AY9"/>
    <mergeCell ref="AZ8:AZ9"/>
    <mergeCell ref="BA8:BA9"/>
    <mergeCell ref="AN8:AN9"/>
    <mergeCell ref="AH8:AK9"/>
    <mergeCell ref="AO8:AO9"/>
    <mergeCell ref="AP8:AP9"/>
    <mergeCell ref="AQ8:AQ9"/>
    <mergeCell ref="AR8:AR9"/>
    <mergeCell ref="AD8:AD9"/>
    <mergeCell ref="AE8:AE9"/>
    <mergeCell ref="AF8:AF9"/>
    <mergeCell ref="AG8:AG9"/>
    <mergeCell ref="AL8:AL9"/>
    <mergeCell ref="AM8:AM9"/>
    <mergeCell ref="U8:U9"/>
    <mergeCell ref="V8:V9"/>
    <mergeCell ref="AA8:AA9"/>
    <mergeCell ref="AB8:AB9"/>
    <mergeCell ref="W8:Z9"/>
    <mergeCell ref="AC8:AC9"/>
    <mergeCell ref="P8:P9"/>
    <mergeCell ref="L8:O9"/>
    <mergeCell ref="Q8:Q9"/>
    <mergeCell ref="R8:R9"/>
    <mergeCell ref="S8:S9"/>
    <mergeCell ref="T8:T9"/>
    <mergeCell ref="A8:D9"/>
    <mergeCell ref="E8:E9"/>
    <mergeCell ref="H8:H9"/>
    <mergeCell ref="I8:I9"/>
    <mergeCell ref="J8:J9"/>
    <mergeCell ref="K8:K9"/>
    <mergeCell ref="BC5:BC6"/>
    <mergeCell ref="A7:D7"/>
    <mergeCell ref="L7:O7"/>
    <mergeCell ref="W7:Z7"/>
    <mergeCell ref="AH7:AK7"/>
    <mergeCell ref="AX5:AX6"/>
    <mergeCell ref="AY5:AY6"/>
    <mergeCell ref="AZ5:AZ6"/>
    <mergeCell ref="BA5:BA6"/>
    <mergeCell ref="BB5:BB6"/>
    <mergeCell ref="AH5:AK6"/>
    <mergeCell ref="AO5:AO6"/>
    <mergeCell ref="AP5:AP6"/>
    <mergeCell ref="AQ5:AQ6"/>
    <mergeCell ref="AR5:AR6"/>
    <mergeCell ref="AW5:AW6"/>
    <mergeCell ref="AE5:AE6"/>
    <mergeCell ref="AF5:AF6"/>
    <mergeCell ref="AG5:AG6"/>
    <mergeCell ref="AL5:AL6"/>
    <mergeCell ref="AM5:AM6"/>
    <mergeCell ref="AN5:AN6"/>
    <mergeCell ref="V5:V6"/>
    <mergeCell ref="AA5:AA6"/>
    <mergeCell ref="AB5:AB6"/>
    <mergeCell ref="W5:Z6"/>
    <mergeCell ref="AC5:AC6"/>
    <mergeCell ref="AD5:AD6"/>
    <mergeCell ref="L5:O6"/>
    <mergeCell ref="Q5:Q6"/>
    <mergeCell ref="R5:R6"/>
    <mergeCell ref="S5:S6"/>
    <mergeCell ref="T5:T6"/>
    <mergeCell ref="U5:U6"/>
    <mergeCell ref="BB3:BB4"/>
    <mergeCell ref="BC3:BC4"/>
    <mergeCell ref="BD3:BD4"/>
    <mergeCell ref="A5:D6"/>
    <mergeCell ref="E5:E6"/>
    <mergeCell ref="H5:H6"/>
    <mergeCell ref="I5:I6"/>
    <mergeCell ref="J5:J6"/>
    <mergeCell ref="K5:K6"/>
    <mergeCell ref="P5:P6"/>
    <mergeCell ref="AY3:AY4"/>
    <mergeCell ref="AZ3:AZ4"/>
    <mergeCell ref="BA3:BA4"/>
    <mergeCell ref="AO3:AO4"/>
    <mergeCell ref="AP3:AP4"/>
    <mergeCell ref="AQ3:AQ4"/>
    <mergeCell ref="AR3:AR4"/>
    <mergeCell ref="AW3:AW4"/>
    <mergeCell ref="AX3:AX4"/>
    <mergeCell ref="AL3:AL4"/>
    <mergeCell ref="AM3:AM4"/>
    <mergeCell ref="Q3:Q4"/>
    <mergeCell ref="R3:R4"/>
    <mergeCell ref="S3:S4"/>
    <mergeCell ref="AN3:AN4"/>
    <mergeCell ref="AH3:AH4"/>
    <mergeCell ref="AI3:AI4"/>
    <mergeCell ref="AJ3:AK3"/>
    <mergeCell ref="Y3:Z3"/>
    <mergeCell ref="AC3:AC4"/>
    <mergeCell ref="AD3:AD4"/>
    <mergeCell ref="AE3:AE4"/>
    <mergeCell ref="AF3:AF4"/>
    <mergeCell ref="AG3:AG4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P3:P4"/>
    <mergeCell ref="L3:L4"/>
    <mergeCell ref="U3:U4"/>
    <mergeCell ref="V3:V4"/>
    <mergeCell ref="AA3:AA4"/>
    <mergeCell ref="AB3:AB4"/>
    <mergeCell ref="W3:W4"/>
    <mergeCell ref="X3:X4"/>
    <mergeCell ref="M3:M4"/>
    <mergeCell ref="N3:O3"/>
    <mergeCell ref="T3:T4"/>
  </mergeCells>
  <pageMargins left="0.19685039370078741" right="0.19685039370078741" top="0.31496062992125984" bottom="0.16" header="0.31496062992125984" footer="0.19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H1" sqref="H1:H2"/>
    </sheetView>
  </sheetViews>
  <sheetFormatPr defaultRowHeight="14.25"/>
  <cols>
    <col min="1" max="1" width="46.375" customWidth="1"/>
    <col min="2" max="2" width="13" customWidth="1"/>
    <col min="3" max="4" width="5.625" customWidth="1"/>
    <col min="5" max="7" width="10.75" customWidth="1"/>
  </cols>
  <sheetData>
    <row r="1" spans="1:8" ht="15.75">
      <c r="A1" s="28"/>
      <c r="B1" s="31"/>
      <c r="C1" s="30"/>
      <c r="D1" s="30"/>
      <c r="E1" s="30"/>
      <c r="F1" s="30"/>
      <c r="G1" s="30"/>
      <c r="H1" s="173" t="s">
        <v>267</v>
      </c>
    </row>
    <row r="2" spans="1:8" ht="15.75">
      <c r="A2" s="28"/>
      <c r="B2" s="31"/>
      <c r="C2" s="30"/>
      <c r="D2" s="30"/>
      <c r="E2" s="30"/>
      <c r="F2" s="30"/>
      <c r="G2" s="30"/>
      <c r="H2" s="173" t="s">
        <v>256</v>
      </c>
    </row>
    <row r="3" spans="1:8" ht="15.75">
      <c r="A3" s="28" t="s">
        <v>231</v>
      </c>
      <c r="B3" s="31"/>
      <c r="C3" s="30"/>
      <c r="D3" s="30"/>
      <c r="E3" s="30"/>
      <c r="F3" s="30"/>
      <c r="G3" s="32"/>
      <c r="H3" s="32"/>
    </row>
    <row r="4" spans="1:8" ht="12.75" customHeight="1">
      <c r="A4" s="233" t="s">
        <v>157</v>
      </c>
      <c r="B4" s="230" t="s">
        <v>158</v>
      </c>
      <c r="C4" s="232" t="s">
        <v>159</v>
      </c>
      <c r="D4" s="232"/>
      <c r="E4" s="230" t="s">
        <v>160</v>
      </c>
      <c r="F4" s="283" t="s">
        <v>232</v>
      </c>
      <c r="G4" s="284" t="s">
        <v>195</v>
      </c>
      <c r="H4" s="33"/>
    </row>
    <row r="5" spans="1:8" ht="24.75" customHeight="1">
      <c r="A5" s="233"/>
      <c r="B5" s="230"/>
      <c r="C5" s="34" t="s">
        <v>196</v>
      </c>
      <c r="D5" s="34" t="s">
        <v>197</v>
      </c>
      <c r="E5" s="230"/>
      <c r="F5" s="283"/>
      <c r="G5" s="284"/>
      <c r="H5" s="31"/>
    </row>
    <row r="6" spans="1:8" ht="15" customHeight="1">
      <c r="A6" s="238" t="s">
        <v>198</v>
      </c>
      <c r="B6" s="238"/>
      <c r="C6" s="238"/>
      <c r="D6" s="238"/>
      <c r="E6" s="240">
        <f>+E8+E9</f>
        <v>103947365</v>
      </c>
      <c r="F6" s="182">
        <f>SUM(F8,F9)</f>
        <v>20126370</v>
      </c>
      <c r="G6" s="36">
        <f>SUM(G8,G9)</f>
        <v>400957</v>
      </c>
      <c r="H6" s="37"/>
    </row>
    <row r="7" spans="1:8" ht="15" customHeight="1">
      <c r="A7" s="238"/>
      <c r="B7" s="238"/>
      <c r="C7" s="238"/>
      <c r="D7" s="238"/>
      <c r="E7" s="240"/>
      <c r="F7" s="182">
        <f>SUM(F10)</f>
        <v>24347515</v>
      </c>
      <c r="G7" s="36">
        <f>SUM(G10)</f>
        <v>115450</v>
      </c>
      <c r="H7" s="37"/>
    </row>
    <row r="8" spans="1:8" ht="15" customHeight="1">
      <c r="A8" s="245" t="s">
        <v>199</v>
      </c>
      <c r="B8" s="245"/>
      <c r="C8" s="245"/>
      <c r="D8" s="245"/>
      <c r="E8" s="181">
        <f>+E13+E28+E50</f>
        <v>1807016</v>
      </c>
      <c r="F8" s="181">
        <f>+F13+F28+F50</f>
        <v>1550185</v>
      </c>
      <c r="G8" s="39">
        <f>SUM(G13,G28,G50)</f>
        <v>0</v>
      </c>
      <c r="H8" s="40"/>
    </row>
    <row r="9" spans="1:8" ht="15" customHeight="1">
      <c r="A9" s="245" t="s">
        <v>200</v>
      </c>
      <c r="B9" s="245"/>
      <c r="C9" s="245"/>
      <c r="D9" s="245"/>
      <c r="E9" s="247">
        <f>+E14+E40</f>
        <v>102140349</v>
      </c>
      <c r="F9" s="181">
        <f>SUM(F14,F40)</f>
        <v>18576185</v>
      </c>
      <c r="G9" s="39">
        <f>SUM(G14,G40)</f>
        <v>400957</v>
      </c>
      <c r="H9" s="40"/>
    </row>
    <row r="10" spans="1:8" ht="15" customHeight="1">
      <c r="A10" s="245"/>
      <c r="B10" s="245"/>
      <c r="C10" s="245"/>
      <c r="D10" s="245"/>
      <c r="E10" s="247"/>
      <c r="F10" s="181">
        <f>SUM(F41,F15)</f>
        <v>24347515</v>
      </c>
      <c r="G10" s="39">
        <f>SUM(G15,G41)</f>
        <v>115450</v>
      </c>
      <c r="H10" s="40"/>
    </row>
    <row r="11" spans="1:8" ht="15" customHeight="1">
      <c r="A11" s="249" t="s">
        <v>201</v>
      </c>
      <c r="B11" s="249"/>
      <c r="C11" s="249"/>
      <c r="D11" s="249"/>
      <c r="E11" s="250">
        <f>SUM(E13:E15)</f>
        <v>82400544</v>
      </c>
      <c r="F11" s="183">
        <f>SUM(F13,F14)</f>
        <v>1860328</v>
      </c>
      <c r="G11" s="36">
        <f>SUM(G13,G14)</f>
        <v>0</v>
      </c>
      <c r="H11" s="43"/>
    </row>
    <row r="12" spans="1:8" ht="15" customHeight="1">
      <c r="A12" s="249"/>
      <c r="B12" s="249"/>
      <c r="C12" s="249"/>
      <c r="D12" s="249"/>
      <c r="E12" s="250"/>
      <c r="F12" s="183">
        <f>SUM(F15)</f>
        <v>23600000</v>
      </c>
      <c r="G12" s="36">
        <f>SUM(G15)</f>
        <v>0</v>
      </c>
      <c r="H12" s="43"/>
    </row>
    <row r="13" spans="1:8" ht="15" customHeight="1">
      <c r="A13" s="245" t="s">
        <v>199</v>
      </c>
      <c r="B13" s="245"/>
      <c r="C13" s="245"/>
      <c r="D13" s="245"/>
      <c r="E13" s="181">
        <f>+E18</f>
        <v>750674</v>
      </c>
      <c r="F13" s="181">
        <f>+F18</f>
        <v>687928</v>
      </c>
      <c r="G13" s="39">
        <f>SUM(G18)</f>
        <v>0</v>
      </c>
      <c r="H13" s="40"/>
    </row>
    <row r="14" spans="1:8" ht="15" customHeight="1">
      <c r="A14" s="245" t="s">
        <v>200</v>
      </c>
      <c r="B14" s="245"/>
      <c r="C14" s="245"/>
      <c r="D14" s="245"/>
      <c r="E14" s="247">
        <f>+E22</f>
        <v>81649870</v>
      </c>
      <c r="F14" s="181">
        <f>SUM(F22)</f>
        <v>1172400</v>
      </c>
      <c r="G14" s="39">
        <f>SUM(G22)</f>
        <v>0</v>
      </c>
      <c r="H14" s="40"/>
    </row>
    <row r="15" spans="1:8" ht="15" customHeight="1">
      <c r="A15" s="245"/>
      <c r="B15" s="245"/>
      <c r="C15" s="245"/>
      <c r="D15" s="245"/>
      <c r="E15" s="247"/>
      <c r="F15" s="181">
        <f>SUM(F23)</f>
        <v>23600000</v>
      </c>
      <c r="G15" s="39">
        <f>SUM(G17)</f>
        <v>0</v>
      </c>
      <c r="H15" s="40"/>
    </row>
    <row r="16" spans="1:8" ht="15" customHeight="1">
      <c r="A16" s="253" t="s">
        <v>202</v>
      </c>
      <c r="B16" s="253"/>
      <c r="C16" s="253"/>
      <c r="D16" s="253"/>
      <c r="E16" s="250">
        <f>+E18+E22</f>
        <v>82400544</v>
      </c>
      <c r="F16" s="183">
        <f>+F18+F22</f>
        <v>1860328</v>
      </c>
      <c r="G16" s="36">
        <f>SUM(G18,G22)</f>
        <v>0</v>
      </c>
      <c r="H16" s="43"/>
    </row>
    <row r="17" spans="1:8" ht="15" customHeight="1">
      <c r="A17" s="253"/>
      <c r="B17" s="253"/>
      <c r="C17" s="253"/>
      <c r="D17" s="253"/>
      <c r="E17" s="250"/>
      <c r="F17" s="183">
        <f>SUM(F23)</f>
        <v>23600000</v>
      </c>
      <c r="G17" s="36">
        <f>SUM(G23)</f>
        <v>0</v>
      </c>
      <c r="H17" s="43"/>
    </row>
    <row r="18" spans="1:8" ht="15" customHeight="1">
      <c r="A18" s="245" t="s">
        <v>203</v>
      </c>
      <c r="B18" s="245"/>
      <c r="C18" s="245"/>
      <c r="D18" s="245"/>
      <c r="E18" s="181">
        <f>SUM(E20,E19,E21)</f>
        <v>750674</v>
      </c>
      <c r="F18" s="181">
        <f t="shared" ref="F18:G18" si="0">SUM(F20,F19,F21)</f>
        <v>687928</v>
      </c>
      <c r="G18" s="92">
        <f t="shared" si="0"/>
        <v>0</v>
      </c>
      <c r="H18" s="40"/>
    </row>
    <row r="19" spans="1:8" ht="25.5" customHeight="1">
      <c r="A19" s="74" t="s">
        <v>204</v>
      </c>
      <c r="B19" s="45" t="s">
        <v>205</v>
      </c>
      <c r="C19" s="52">
        <v>2010</v>
      </c>
      <c r="D19" s="75">
        <v>2012</v>
      </c>
      <c r="E19" s="178">
        <f>SUM('Zał.2 Przeds.'!E18)</f>
        <v>77581</v>
      </c>
      <c r="F19" s="49">
        <f>SUM('Zał.2 Przeds.'!F18)</f>
        <v>25269</v>
      </c>
      <c r="G19" s="50">
        <f>SUM('Zał.2 Przeds.'!BD18)</f>
        <v>0</v>
      </c>
      <c r="H19" s="40"/>
    </row>
    <row r="20" spans="1:8" ht="25.5" customHeight="1">
      <c r="A20" s="74" t="s">
        <v>206</v>
      </c>
      <c r="B20" s="45" t="s">
        <v>207</v>
      </c>
      <c r="C20" s="52">
        <v>2011</v>
      </c>
      <c r="D20" s="75">
        <v>2013</v>
      </c>
      <c r="E20" s="178">
        <f>SUM('Zał.2 Przeds.'!E19)</f>
        <v>80593</v>
      </c>
      <c r="F20" s="49">
        <f>SUM('Zał.2 Przeds.'!F19:G19)</f>
        <v>70159</v>
      </c>
      <c r="G20" s="50">
        <f>SUM('Zał.2 Przeds.'!BD19)</f>
        <v>0</v>
      </c>
      <c r="H20" s="40"/>
    </row>
    <row r="21" spans="1:8" ht="25.5" customHeight="1">
      <c r="A21" s="179" t="s">
        <v>235</v>
      </c>
      <c r="B21" s="45" t="s">
        <v>237</v>
      </c>
      <c r="C21" s="175">
        <v>2012</v>
      </c>
      <c r="D21" s="177">
        <v>2014</v>
      </c>
      <c r="E21" s="178">
        <f>SUM('Zał.2 Przeds.'!E20)</f>
        <v>592500</v>
      </c>
      <c r="F21" s="49">
        <f>SUM('Zał.2 Przeds.'!F20:H20)</f>
        <v>592500</v>
      </c>
      <c r="G21" s="50">
        <f>SUM('Zał.2 Przeds.'!BD20)</f>
        <v>0</v>
      </c>
      <c r="H21" s="40"/>
    </row>
    <row r="22" spans="1:8" ht="15" customHeight="1">
      <c r="A22" s="245" t="s">
        <v>208</v>
      </c>
      <c r="B22" s="245"/>
      <c r="C22" s="245"/>
      <c r="D22" s="245"/>
      <c r="E22" s="247">
        <f>+E24</f>
        <v>81649870</v>
      </c>
      <c r="F22" s="41">
        <f>SUM(F24)</f>
        <v>1172400</v>
      </c>
      <c r="G22" s="51">
        <f>SUM(G24)</f>
        <v>0</v>
      </c>
      <c r="H22" s="40"/>
    </row>
    <row r="23" spans="1:8" ht="15" customHeight="1">
      <c r="A23" s="245"/>
      <c r="B23" s="245"/>
      <c r="C23" s="245"/>
      <c r="D23" s="245"/>
      <c r="E23" s="247"/>
      <c r="F23" s="41">
        <f>SUM(F25)</f>
        <v>23600000</v>
      </c>
      <c r="G23" s="51">
        <f>SUM(G25)</f>
        <v>0</v>
      </c>
      <c r="H23" s="40"/>
    </row>
    <row r="24" spans="1:8" ht="24.75" customHeight="1">
      <c r="A24" s="255" t="s">
        <v>209</v>
      </c>
      <c r="B24" s="256" t="s">
        <v>210</v>
      </c>
      <c r="C24" s="256">
        <v>2004</v>
      </c>
      <c r="D24" s="256">
        <v>2013</v>
      </c>
      <c r="E24" s="257">
        <f>SUM([1]Zał.2Przedsięwzięcia!E22)</f>
        <v>81649870</v>
      </c>
      <c r="F24" s="53">
        <f>SUM([1]Zał.2Przedsięwzięcia!F22:G22)</f>
        <v>1172400</v>
      </c>
      <c r="G24" s="50">
        <v>0</v>
      </c>
      <c r="H24" s="40"/>
    </row>
    <row r="25" spans="1:8" ht="24.75" customHeight="1">
      <c r="A25" s="255"/>
      <c r="B25" s="256"/>
      <c r="C25" s="256"/>
      <c r="D25" s="256"/>
      <c r="E25" s="257"/>
      <c r="F25" s="53">
        <f>SUM([1]Zał.2Przedsięwzięcia!F23:G23)</f>
        <v>23600000</v>
      </c>
      <c r="G25" s="55">
        <v>0</v>
      </c>
      <c r="H25" s="40"/>
    </row>
    <row r="26" spans="1:8" ht="19.5" customHeight="1">
      <c r="A26" s="260" t="s">
        <v>211</v>
      </c>
      <c r="B26" s="260"/>
      <c r="C26" s="260"/>
      <c r="D26" s="260"/>
      <c r="E26" s="240">
        <f>+E28+E40</f>
        <v>20760767</v>
      </c>
      <c r="F26" s="35">
        <f>SUM(F28,F40)</f>
        <v>17520442</v>
      </c>
      <c r="G26" s="36">
        <f>SUM(G28,G40)</f>
        <v>400957</v>
      </c>
      <c r="H26" s="37"/>
    </row>
    <row r="27" spans="1:8" ht="19.5" customHeight="1">
      <c r="A27" s="260"/>
      <c r="B27" s="260"/>
      <c r="C27" s="260"/>
      <c r="D27" s="260"/>
      <c r="E27" s="240"/>
      <c r="F27" s="35">
        <f>SUM(F41)</f>
        <v>747515</v>
      </c>
      <c r="G27" s="36">
        <f>SUM(G41)</f>
        <v>115450</v>
      </c>
      <c r="H27" s="56"/>
    </row>
    <row r="28" spans="1:8" ht="15" customHeight="1">
      <c r="A28" s="245" t="s">
        <v>199</v>
      </c>
      <c r="B28" s="245"/>
      <c r="C28" s="245"/>
      <c r="D28" s="245"/>
      <c r="E28" s="41">
        <f>SUM(E29,E30,E35,E36,E38,E31,E37,E39)</f>
        <v>270288</v>
      </c>
      <c r="F28" s="41">
        <f>SUM(F29,F30,F35,F36,F38,F31,F37,F39)</f>
        <v>116657</v>
      </c>
      <c r="G28" s="44">
        <f>SUM(G29,G30,G35,G36,G38,G31,G37,G39)</f>
        <v>0</v>
      </c>
      <c r="H28" s="40"/>
    </row>
    <row r="29" spans="1:8" ht="27" customHeight="1">
      <c r="A29" s="57" t="s">
        <v>212</v>
      </c>
      <c r="B29" s="52" t="s">
        <v>210</v>
      </c>
      <c r="C29" s="52">
        <v>2011</v>
      </c>
      <c r="D29" s="52">
        <v>2014</v>
      </c>
      <c r="E29" s="53">
        <f>SUM([1]Zał.2Przedsięwzięcia!E27)</f>
        <v>7900</v>
      </c>
      <c r="F29" s="53">
        <f>SUM([1]Zał.2Przedsięwzięcia!F27:H27)</f>
        <v>6000</v>
      </c>
      <c r="G29" s="50">
        <v>0</v>
      </c>
      <c r="H29" s="40"/>
    </row>
    <row r="30" spans="1:8" ht="27" customHeight="1">
      <c r="A30" s="74" t="s">
        <v>213</v>
      </c>
      <c r="B30" s="75" t="s">
        <v>210</v>
      </c>
      <c r="C30" s="75">
        <v>2010</v>
      </c>
      <c r="D30" s="75">
        <v>2012</v>
      </c>
      <c r="E30" s="76">
        <f>SUM([1]Zał.2Przedsięwzięcia!E28)</f>
        <v>150000</v>
      </c>
      <c r="F30" s="76">
        <f>SUM([1]Zał.2Przedsięwzięcia!F28)</f>
        <v>50000</v>
      </c>
      <c r="G30" s="58">
        <v>0</v>
      </c>
      <c r="H30" s="40"/>
    </row>
    <row r="31" spans="1:8" ht="15.75" customHeight="1">
      <c r="A31" s="59" t="s">
        <v>214</v>
      </c>
      <c r="B31" s="60" t="s">
        <v>210</v>
      </c>
      <c r="C31" s="60">
        <v>2010</v>
      </c>
      <c r="D31" s="60">
        <v>2013</v>
      </c>
      <c r="E31" s="61">
        <f>SUM([1]Zał.2Przedsięwzięcia!E29)</f>
        <v>18336</v>
      </c>
      <c r="F31" s="61">
        <f>SUM([1]Zał.2Przedsięwzięcia!F29:G29)</f>
        <v>2952</v>
      </c>
      <c r="G31" s="63">
        <v>0</v>
      </c>
      <c r="H31" s="64"/>
    </row>
    <row r="32" spans="1:8">
      <c r="A32" s="281" t="s">
        <v>144</v>
      </c>
      <c r="B32" s="282"/>
      <c r="C32" s="282"/>
      <c r="D32" s="282"/>
      <c r="E32" s="282"/>
      <c r="F32" s="282"/>
      <c r="G32" s="282"/>
      <c r="H32" s="282"/>
    </row>
    <row r="33" spans="1:8">
      <c r="A33" s="233" t="s">
        <v>157</v>
      </c>
      <c r="B33" s="230" t="s">
        <v>158</v>
      </c>
      <c r="C33" s="232" t="s">
        <v>159</v>
      </c>
      <c r="D33" s="232"/>
      <c r="E33" s="230" t="s">
        <v>160</v>
      </c>
      <c r="F33" s="283" t="s">
        <v>232</v>
      </c>
      <c r="G33" s="284" t="s">
        <v>195</v>
      </c>
      <c r="H33" s="33"/>
    </row>
    <row r="34" spans="1:8" ht="24.75" customHeight="1">
      <c r="A34" s="233"/>
      <c r="B34" s="230"/>
      <c r="C34" s="34" t="s">
        <v>196</v>
      </c>
      <c r="D34" s="34" t="s">
        <v>197</v>
      </c>
      <c r="E34" s="230"/>
      <c r="F34" s="283"/>
      <c r="G34" s="284"/>
      <c r="H34" s="31"/>
    </row>
    <row r="35" spans="1:8" ht="37.5" customHeight="1">
      <c r="A35" s="67" t="s">
        <v>215</v>
      </c>
      <c r="B35" s="68" t="s">
        <v>210</v>
      </c>
      <c r="C35" s="68">
        <v>2010</v>
      </c>
      <c r="D35" s="68">
        <v>2012</v>
      </c>
      <c r="E35" s="54">
        <f>SUM([1]Zał.2Przedsięwzięcia!E33)</f>
        <v>16500</v>
      </c>
      <c r="F35" s="54">
        <f>SUM([1]Zał.2Przedsięwzięcia!F33)</f>
        <v>6000</v>
      </c>
      <c r="G35" s="69">
        <v>0</v>
      </c>
      <c r="H35" s="40"/>
    </row>
    <row r="36" spans="1:8" ht="25.5" customHeight="1">
      <c r="A36" s="57" t="s">
        <v>216</v>
      </c>
      <c r="B36" s="52" t="s">
        <v>210</v>
      </c>
      <c r="C36" s="52">
        <v>2010</v>
      </c>
      <c r="D36" s="52">
        <v>2013</v>
      </c>
      <c r="E36" s="53">
        <f>SUM([1]Zał.2Przedsięwzięcia!E34)</f>
        <v>6632</v>
      </c>
      <c r="F36" s="53">
        <f>SUM([1]Zał.2Przedsięwzięcia!F34:G34)</f>
        <v>3137</v>
      </c>
      <c r="G36" s="50">
        <v>0</v>
      </c>
      <c r="H36" s="40"/>
    </row>
    <row r="37" spans="1:8" ht="37.5" customHeight="1">
      <c r="A37" s="57" t="s">
        <v>217</v>
      </c>
      <c r="B37" s="52" t="s">
        <v>210</v>
      </c>
      <c r="C37" s="52">
        <v>2010</v>
      </c>
      <c r="D37" s="52">
        <v>2013</v>
      </c>
      <c r="E37" s="53">
        <f>SUM([1]Zał.2Przedsięwzięcia!E35)</f>
        <v>4420</v>
      </c>
      <c r="F37" s="53">
        <f>SUM([1]Zał.2Przedsięwzięcia!F35:G35)</f>
        <v>1968</v>
      </c>
      <c r="G37" s="50">
        <v>0</v>
      </c>
      <c r="H37" s="40"/>
    </row>
    <row r="38" spans="1:8" ht="37.5" customHeight="1">
      <c r="A38" s="57" t="s">
        <v>218</v>
      </c>
      <c r="B38" s="52" t="s">
        <v>210</v>
      </c>
      <c r="C38" s="52">
        <v>2011</v>
      </c>
      <c r="D38" s="52">
        <v>2012</v>
      </c>
      <c r="E38" s="53">
        <f>SUM([1]Zał.2Przedsięwzięcia!E36)</f>
        <v>22000</v>
      </c>
      <c r="F38" s="53">
        <f>SUM([1]Zał.2Przedsięwzięcia!F36)</f>
        <v>11000</v>
      </c>
      <c r="G38" s="70">
        <v>0</v>
      </c>
      <c r="H38" s="64"/>
    </row>
    <row r="39" spans="1:8" ht="51" customHeight="1">
      <c r="A39" s="57" t="s">
        <v>233</v>
      </c>
      <c r="B39" s="52" t="s">
        <v>210</v>
      </c>
      <c r="C39" s="52">
        <v>2011</v>
      </c>
      <c r="D39" s="52">
        <v>2012</v>
      </c>
      <c r="E39" s="53">
        <f>SUM([1]Zał.2Przedsięwzięcia!E37)</f>
        <v>44500</v>
      </c>
      <c r="F39" s="53">
        <f>SUM([1]Zał.2Przedsięwzięcia!F37)</f>
        <v>35600</v>
      </c>
      <c r="G39" s="50">
        <v>0</v>
      </c>
      <c r="H39" s="64"/>
    </row>
    <row r="40" spans="1:8" ht="15" customHeight="1">
      <c r="A40" s="245" t="s">
        <v>200</v>
      </c>
      <c r="B40" s="245"/>
      <c r="C40" s="245"/>
      <c r="D40" s="245"/>
      <c r="E40" s="247">
        <f>SUM(E42,E44,E46,E47)</f>
        <v>20490479</v>
      </c>
      <c r="F40" s="41">
        <f>SUM(F42,F44,F46,F47)</f>
        <v>17403785</v>
      </c>
      <c r="G40" s="51">
        <f>SUM(G42,G44,G46,G47)</f>
        <v>400957</v>
      </c>
      <c r="H40" s="40"/>
    </row>
    <row r="41" spans="1:8" ht="15" customHeight="1">
      <c r="A41" s="245"/>
      <c r="B41" s="245"/>
      <c r="C41" s="245"/>
      <c r="D41" s="245"/>
      <c r="E41" s="247"/>
      <c r="F41" s="41">
        <f>SUM(F43,F45,F48)</f>
        <v>747515</v>
      </c>
      <c r="G41" s="51">
        <f>SUM(G43,G45,G48)</f>
        <v>115450</v>
      </c>
      <c r="H41" s="40"/>
    </row>
    <row r="42" spans="1:8" ht="15" customHeight="1">
      <c r="A42" s="255" t="s">
        <v>220</v>
      </c>
      <c r="B42" s="256" t="s">
        <v>210</v>
      </c>
      <c r="C42" s="256">
        <v>2009</v>
      </c>
      <c r="D42" s="256">
        <v>2012</v>
      </c>
      <c r="E42" s="257">
        <f>SUM([1]Zał.2Przedsięwzięcia!E40)</f>
        <v>1120882</v>
      </c>
      <c r="F42" s="53">
        <f>SUM([1]Zał.2Przedsięwzięcia!F40)</f>
        <v>391640</v>
      </c>
      <c r="G42" s="50">
        <v>0</v>
      </c>
      <c r="H42" s="40"/>
    </row>
    <row r="43" spans="1:8" ht="15" customHeight="1">
      <c r="A43" s="255"/>
      <c r="B43" s="256"/>
      <c r="C43" s="256"/>
      <c r="D43" s="256"/>
      <c r="E43" s="257"/>
      <c r="F43" s="53">
        <f>SUM([1]Zał.2Przedsięwzięcia!F41)</f>
        <v>313642</v>
      </c>
      <c r="G43" s="50">
        <v>0</v>
      </c>
      <c r="H43" s="40"/>
    </row>
    <row r="44" spans="1:8" ht="15" customHeight="1">
      <c r="A44" s="255" t="s">
        <v>221</v>
      </c>
      <c r="B44" s="256" t="s">
        <v>210</v>
      </c>
      <c r="C44" s="256">
        <v>2009</v>
      </c>
      <c r="D44" s="256">
        <v>2012</v>
      </c>
      <c r="E44" s="257">
        <f>SUM([1]Zał.2Przedsięwzięcia!E42)</f>
        <v>1056418</v>
      </c>
      <c r="F44" s="53">
        <f>SUM([1]Zał.2Przedsięwzięcia!F42)</f>
        <v>394195</v>
      </c>
      <c r="G44" s="50">
        <v>0</v>
      </c>
      <c r="H44" s="40"/>
    </row>
    <row r="45" spans="1:8" ht="15" customHeight="1">
      <c r="A45" s="255"/>
      <c r="B45" s="256"/>
      <c r="C45" s="256"/>
      <c r="D45" s="256"/>
      <c r="E45" s="257"/>
      <c r="F45" s="53">
        <f>SUM([1]Zał.2Przedsięwzięcia!F43)</f>
        <v>318423</v>
      </c>
      <c r="G45" s="50">
        <v>0</v>
      </c>
      <c r="H45" s="40"/>
    </row>
    <row r="46" spans="1:8" ht="37.5" customHeight="1">
      <c r="A46" s="57" t="s">
        <v>222</v>
      </c>
      <c r="B46" s="52" t="s">
        <v>210</v>
      </c>
      <c r="C46" s="52">
        <v>2004</v>
      </c>
      <c r="D46" s="52">
        <v>2027</v>
      </c>
      <c r="E46" s="53">
        <f>SUM([1]Zał.2Przedsięwzięcia!E44)</f>
        <v>18010079</v>
      </c>
      <c r="F46" s="53">
        <f>SUM([1]Zał.2Przedsięwzięcia!F44:L44,[1]Zał.2Przedsięwzięcia!Q44:X44,[1]Zał.2Przedsięwzięcia!AC44)</f>
        <v>16442500</v>
      </c>
      <c r="G46" s="73">
        <v>225507</v>
      </c>
      <c r="H46" s="65"/>
    </row>
    <row r="47" spans="1:8" ht="18" customHeight="1">
      <c r="A47" s="263" t="s">
        <v>223</v>
      </c>
      <c r="B47" s="265" t="s">
        <v>210</v>
      </c>
      <c r="C47" s="265">
        <v>2010</v>
      </c>
      <c r="D47" s="265">
        <v>2012</v>
      </c>
      <c r="E47" s="267">
        <f>SUM([1]Zał.2Przedsięwzięcia!E45)</f>
        <v>303100</v>
      </c>
      <c r="F47" s="53">
        <f>SUM([1]Zał.2Przedsięwzięcia!F45)</f>
        <v>175450</v>
      </c>
      <c r="G47" s="73">
        <v>175450</v>
      </c>
      <c r="H47" s="65"/>
    </row>
    <row r="48" spans="1:8" ht="18" customHeight="1">
      <c r="A48" s="279"/>
      <c r="B48" s="280"/>
      <c r="C48" s="280"/>
      <c r="D48" s="280"/>
      <c r="E48" s="268"/>
      <c r="F48" s="54">
        <f>SUM([1]Zał.2Przedsięwzięcia!F46)</f>
        <v>115450</v>
      </c>
      <c r="G48" s="73">
        <v>115450</v>
      </c>
      <c r="H48" s="65"/>
    </row>
    <row r="49" spans="1:8" ht="15" customHeight="1">
      <c r="A49" s="275" t="s">
        <v>224</v>
      </c>
      <c r="B49" s="275"/>
      <c r="C49" s="275"/>
      <c r="D49" s="275"/>
      <c r="E49" s="77">
        <f>+E50</f>
        <v>786054</v>
      </c>
      <c r="F49" s="77">
        <f>+F50</f>
        <v>745600</v>
      </c>
      <c r="G49" s="36">
        <f>SUM(G50)</f>
        <v>0</v>
      </c>
      <c r="H49" s="37"/>
    </row>
    <row r="50" spans="1:8" ht="15" customHeight="1">
      <c r="A50" s="245" t="s">
        <v>199</v>
      </c>
      <c r="B50" s="245"/>
      <c r="C50" s="245"/>
      <c r="D50" s="245"/>
      <c r="E50" s="41">
        <f>SUM(E51,E52)</f>
        <v>786054</v>
      </c>
      <c r="F50" s="92">
        <f t="shared" ref="F50:G50" si="1">SUM(F51,F52)</f>
        <v>745600</v>
      </c>
      <c r="G50" s="44">
        <f t="shared" si="1"/>
        <v>0</v>
      </c>
      <c r="H50" s="40"/>
    </row>
    <row r="51" spans="1:8" ht="37.5" customHeight="1">
      <c r="A51" s="180" t="s">
        <v>252</v>
      </c>
      <c r="B51" s="175" t="s">
        <v>210</v>
      </c>
      <c r="C51" s="175">
        <v>1999</v>
      </c>
      <c r="D51" s="175">
        <v>2045</v>
      </c>
      <c r="E51" s="178">
        <f>SUM('Zał.2 Przeds.'!E50)</f>
        <v>700000</v>
      </c>
      <c r="F51" s="178">
        <f>SUM('Zał.2 Przeds.'!F50:K50,'Zał.2 Przeds.'!P50:V50,'Zał.2 Przeds.'!AA50:AG50,'Zał.2 Przeds.'!AL50:AR50,'Zał.2 Przeds.'!AW50:BC50)</f>
        <v>659546</v>
      </c>
      <c r="G51" s="50">
        <v>0</v>
      </c>
      <c r="H51" s="40"/>
    </row>
    <row r="52" spans="1:8" ht="37.5" customHeight="1">
      <c r="A52" s="205" t="s">
        <v>251</v>
      </c>
      <c r="B52" s="206" t="s">
        <v>210</v>
      </c>
      <c r="C52" s="206">
        <v>2001</v>
      </c>
      <c r="D52" s="206">
        <v>2034</v>
      </c>
      <c r="E52" s="207">
        <f>SUM('Zał.2 Przeds.'!E51)</f>
        <v>86054</v>
      </c>
      <c r="F52" s="207">
        <f>SUM('Zał.2 Przeds.'!F51:K51,'Zał.2 Przeds.'!P51:V51,'Zał.2 Przeds.'!AA51:AG51,'Zał.2 Przeds.'!AL51:AN51)</f>
        <v>86054</v>
      </c>
      <c r="G52" s="212">
        <v>0</v>
      </c>
      <c r="H52" s="40"/>
    </row>
    <row r="53" spans="1:8" ht="15">
      <c r="A53" s="84"/>
      <c r="B53" s="31"/>
      <c r="C53" s="85"/>
      <c r="D53" s="86"/>
      <c r="E53" s="78"/>
      <c r="F53" s="78"/>
      <c r="G53" s="87" t="s">
        <v>150</v>
      </c>
      <c r="H53" s="30"/>
    </row>
    <row r="54" spans="1:8" ht="15">
      <c r="A54" s="84"/>
      <c r="B54" s="29"/>
      <c r="D54" s="30"/>
      <c r="E54" s="30"/>
      <c r="F54" s="30"/>
      <c r="G54" s="87"/>
      <c r="H54" s="30"/>
    </row>
    <row r="55" spans="1:8" ht="15">
      <c r="A55" s="30"/>
      <c r="B55" s="31"/>
      <c r="C55" s="30"/>
      <c r="D55" s="30"/>
      <c r="E55" s="30"/>
      <c r="F55" s="30"/>
      <c r="G55" s="87" t="s">
        <v>230</v>
      </c>
      <c r="H55" s="30"/>
    </row>
    <row r="57" spans="1:8">
      <c r="F57" s="112"/>
    </row>
  </sheetData>
  <mergeCells count="55">
    <mergeCell ref="G4:G5"/>
    <mergeCell ref="A4:A5"/>
    <mergeCell ref="B4:B5"/>
    <mergeCell ref="C4:D4"/>
    <mergeCell ref="E4:E5"/>
    <mergeCell ref="F4:F5"/>
    <mergeCell ref="A18:D18"/>
    <mergeCell ref="A6:D7"/>
    <mergeCell ref="E6:E7"/>
    <mergeCell ref="A8:D8"/>
    <mergeCell ref="A9:D10"/>
    <mergeCell ref="E9:E10"/>
    <mergeCell ref="A11:D12"/>
    <mergeCell ref="E11:E12"/>
    <mergeCell ref="A13:D13"/>
    <mergeCell ref="A14:D15"/>
    <mergeCell ref="E14:E15"/>
    <mergeCell ref="A16:D17"/>
    <mergeCell ref="E16:E17"/>
    <mergeCell ref="A22:D23"/>
    <mergeCell ref="E22:E23"/>
    <mergeCell ref="A24:A25"/>
    <mergeCell ref="B24:B25"/>
    <mergeCell ref="C24:C25"/>
    <mergeCell ref="D24:D25"/>
    <mergeCell ref="E24:E25"/>
    <mergeCell ref="A26:D27"/>
    <mergeCell ref="E26:E27"/>
    <mergeCell ref="A28:D28"/>
    <mergeCell ref="A32:H32"/>
    <mergeCell ref="A33:A34"/>
    <mergeCell ref="B33:B34"/>
    <mergeCell ref="C33:D33"/>
    <mergeCell ref="E33:E34"/>
    <mergeCell ref="F33:F34"/>
    <mergeCell ref="G33:G34"/>
    <mergeCell ref="A40:D41"/>
    <mergeCell ref="E40:E41"/>
    <mergeCell ref="A42:A43"/>
    <mergeCell ref="B42:B43"/>
    <mergeCell ref="C42:C43"/>
    <mergeCell ref="D42:D43"/>
    <mergeCell ref="E42:E43"/>
    <mergeCell ref="E44:E45"/>
    <mergeCell ref="A47:A48"/>
    <mergeCell ref="B47:B48"/>
    <mergeCell ref="C47:C48"/>
    <mergeCell ref="D47:D48"/>
    <mergeCell ref="E47:E48"/>
    <mergeCell ref="A49:D49"/>
    <mergeCell ref="A50:D50"/>
    <mergeCell ref="A44:A45"/>
    <mergeCell ref="B44:B45"/>
    <mergeCell ref="C44:C45"/>
    <mergeCell ref="D44:D45"/>
  </mergeCells>
  <pageMargins left="0.70866141732283472" right="0.70866141732283472" top="0.44" bottom="0.23622047244094491" header="0.36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workbookViewId="0">
      <selection activeCell="B5" sqref="B5:D5"/>
    </sheetView>
  </sheetViews>
  <sheetFormatPr defaultRowHeight="14.25"/>
  <cols>
    <col min="1" max="1" width="18.625" bestFit="1" customWidth="1"/>
    <col min="2" max="2" width="12.125" customWidth="1"/>
    <col min="3" max="3" width="11.625" customWidth="1"/>
    <col min="4" max="4" width="12.125" customWidth="1"/>
    <col min="5" max="10" width="11.625" customWidth="1"/>
  </cols>
  <sheetData>
    <row r="1" spans="1:25">
      <c r="K1" s="173" t="s">
        <v>268</v>
      </c>
    </row>
    <row r="2" spans="1:25">
      <c r="F2" s="109"/>
      <c r="K2" s="173" t="s">
        <v>256</v>
      </c>
    </row>
    <row r="3" spans="1:25" ht="20.25" customHeight="1">
      <c r="A3" s="99" t="s">
        <v>238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6.5" customHeight="1">
      <c r="A4" s="285" t="s">
        <v>239</v>
      </c>
      <c r="B4" s="286"/>
      <c r="C4" s="286"/>
      <c r="D4" s="286"/>
      <c r="E4" s="286"/>
      <c r="F4" s="286"/>
      <c r="G4" s="286"/>
      <c r="H4" s="286"/>
      <c r="I4" s="286"/>
      <c r="J4" s="286"/>
      <c r="K4" s="287"/>
    </row>
    <row r="5" spans="1:25" ht="46.5" customHeight="1">
      <c r="A5" s="288" t="s">
        <v>240</v>
      </c>
      <c r="B5" s="290" t="s">
        <v>241</v>
      </c>
      <c r="C5" s="291"/>
      <c r="D5" s="292"/>
      <c r="E5" s="293" t="s">
        <v>201</v>
      </c>
      <c r="F5" s="294"/>
      <c r="G5" s="295"/>
      <c r="H5" s="296" t="s">
        <v>211</v>
      </c>
      <c r="I5" s="297"/>
      <c r="J5" s="298"/>
      <c r="K5" s="299" t="s">
        <v>247</v>
      </c>
    </row>
    <row r="6" spans="1:25" ht="30.75" customHeight="1">
      <c r="A6" s="289"/>
      <c r="B6" s="105" t="s">
        <v>242</v>
      </c>
      <c r="C6" s="106" t="s">
        <v>243</v>
      </c>
      <c r="D6" s="107" t="s">
        <v>244</v>
      </c>
      <c r="E6" s="105" t="s">
        <v>242</v>
      </c>
      <c r="F6" s="106" t="s">
        <v>243</v>
      </c>
      <c r="G6" s="107" t="s">
        <v>244</v>
      </c>
      <c r="H6" s="105" t="s">
        <v>242</v>
      </c>
      <c r="I6" s="106" t="s">
        <v>243</v>
      </c>
      <c r="J6" s="107" t="s">
        <v>244</v>
      </c>
      <c r="K6" s="300"/>
    </row>
    <row r="7" spans="1:25" s="108" customFormat="1" ht="12">
      <c r="A7" s="101" t="s">
        <v>245</v>
      </c>
      <c r="B7" s="102">
        <f>SUM(C7:D7)</f>
        <v>103947365</v>
      </c>
      <c r="C7" s="102">
        <f>SUM(F7,I7,K7)</f>
        <v>1807016</v>
      </c>
      <c r="D7" s="102">
        <f>SUM(G7,J7)</f>
        <v>102140349</v>
      </c>
      <c r="E7" s="102">
        <f>SUM(F7:G7)</f>
        <v>82400544</v>
      </c>
      <c r="F7" s="102">
        <f>SUM(Zał.3Przeds.zb.!E13)</f>
        <v>750674</v>
      </c>
      <c r="G7" s="102">
        <f>SUM(Zał.3Przeds.zb.!E14)</f>
        <v>81649870</v>
      </c>
      <c r="H7" s="102">
        <f>SUM(I7:J7)</f>
        <v>20760767</v>
      </c>
      <c r="I7" s="102">
        <f>SUM(Zał.3Przeds.zb.!E28)</f>
        <v>270288</v>
      </c>
      <c r="J7" s="102">
        <f>SUM(Zał.3Przeds.zb.!E40)</f>
        <v>20490479</v>
      </c>
      <c r="K7" s="102">
        <f>SUM('[1]Zał.3 Przeds.zbiorczo'!E49)</f>
        <v>786054</v>
      </c>
    </row>
    <row r="8" spans="1:25" s="108" customFormat="1" ht="12">
      <c r="A8" s="101" t="s">
        <v>246</v>
      </c>
      <c r="B8" s="102">
        <f>SUM(C8:D8)</f>
        <v>516407</v>
      </c>
      <c r="C8" s="102">
        <f>SUM(F8,I8,K8)</f>
        <v>0</v>
      </c>
      <c r="D8" s="102">
        <f>SUM(G8,J8)</f>
        <v>516407</v>
      </c>
      <c r="E8" s="102">
        <f>SUM(F8:G8)</f>
        <v>0</v>
      </c>
      <c r="F8" s="102">
        <f>SUM(Zał.3Przeds.zb.!G13)</f>
        <v>0</v>
      </c>
      <c r="G8" s="102">
        <f>SUM(Zał.3Przeds.zb.!G14:G15)</f>
        <v>0</v>
      </c>
      <c r="H8" s="102">
        <f>SUM(I8:J8)</f>
        <v>516407</v>
      </c>
      <c r="I8" s="102">
        <f>SUM(Zał.3Przeds.zb.!G28)</f>
        <v>0</v>
      </c>
      <c r="J8" s="102">
        <f>SUM(Zał.3Przeds.zb.!G40:G41)</f>
        <v>516407</v>
      </c>
      <c r="K8" s="102">
        <f>SUM('[1]Zał.3 Przeds.zbiorczo'!G49)</f>
        <v>0</v>
      </c>
    </row>
    <row r="9" spans="1:25" s="103" customFormat="1" ht="12">
      <c r="A9" s="101">
        <v>2012</v>
      </c>
      <c r="B9" s="102">
        <f t="shared" ref="B9:B42" si="0">SUM(C9:D9)</f>
        <v>23608974</v>
      </c>
      <c r="C9" s="102">
        <f t="shared" ref="C9:C42" si="1">SUM(F9,I9,K9)</f>
        <v>424274</v>
      </c>
      <c r="D9" s="102">
        <f t="shared" ref="D9:D42" si="2">SUM(G9,J9)</f>
        <v>23184700</v>
      </c>
      <c r="E9" s="102">
        <f t="shared" ref="E9:E42" si="3">SUM(F9:G9)</f>
        <v>20954208</v>
      </c>
      <c r="F9" s="102">
        <f>SUM('Zał.2 Przeds.'!F12)</f>
        <v>281808</v>
      </c>
      <c r="G9" s="102">
        <f>SUM('Zał.2 Przeds.'!F21:F22)</f>
        <v>20672400</v>
      </c>
      <c r="H9" s="102">
        <f t="shared" ref="H9:H42" si="4">SUM(I9:J9)</f>
        <v>2622066</v>
      </c>
      <c r="I9" s="102">
        <f>SUM('Zał.2 Przeds.'!F27)</f>
        <v>109766</v>
      </c>
      <c r="J9" s="102">
        <f>SUM('Zał.2 Przeds.'!F39:F40)</f>
        <v>2512300</v>
      </c>
      <c r="K9" s="102">
        <f>SUM([1]Zał.2Przedsięwzięcia!F48)</f>
        <v>32700</v>
      </c>
    </row>
    <row r="10" spans="1:25" s="103" customFormat="1" ht="12">
      <c r="A10" s="101">
        <v>2013</v>
      </c>
      <c r="B10" s="102">
        <f t="shared" si="0"/>
        <v>5456411</v>
      </c>
      <c r="C10" s="102">
        <f t="shared" si="1"/>
        <v>313811</v>
      </c>
      <c r="D10" s="102">
        <f t="shared" si="2"/>
        <v>5142600</v>
      </c>
      <c r="E10" s="102">
        <f t="shared" si="3"/>
        <v>4376120</v>
      </c>
      <c r="F10" s="102">
        <f>SUM('Zał.2 Przeds.'!G12)</f>
        <v>276120</v>
      </c>
      <c r="G10" s="102">
        <f>SUM('Zał.2 Przeds.'!G21:G22)</f>
        <v>4100000</v>
      </c>
      <c r="H10" s="102">
        <f t="shared" si="4"/>
        <v>1047491</v>
      </c>
      <c r="I10" s="102">
        <f>SUM('Zał.2 Przeds.'!G27)</f>
        <v>4891</v>
      </c>
      <c r="J10" s="102">
        <f>SUM('Zał.2 Przeds.'!G39:G40)</f>
        <v>1042600</v>
      </c>
      <c r="K10" s="102">
        <f>SUM([1]Zał.2Przedsięwzięcia!G48)</f>
        <v>32800</v>
      </c>
    </row>
    <row r="11" spans="1:25" s="103" customFormat="1" ht="12">
      <c r="A11" s="101">
        <v>2014</v>
      </c>
      <c r="B11" s="102">
        <f t="shared" si="0"/>
        <v>1207400</v>
      </c>
      <c r="C11" s="102">
        <f t="shared" si="1"/>
        <v>164800</v>
      </c>
      <c r="D11" s="102">
        <f t="shared" si="2"/>
        <v>1042600</v>
      </c>
      <c r="E11" s="102">
        <f t="shared" si="3"/>
        <v>130000</v>
      </c>
      <c r="F11" s="102">
        <f>SUM('Zał.2 Przeds.'!H12)</f>
        <v>130000</v>
      </c>
      <c r="G11" s="102">
        <v>0</v>
      </c>
      <c r="H11" s="102">
        <f t="shared" si="4"/>
        <v>1044600</v>
      </c>
      <c r="I11" s="102">
        <f>SUM('Zał.2 Przeds.'!H27)</f>
        <v>2000</v>
      </c>
      <c r="J11" s="102">
        <f>SUM('Zał.2 Przeds.'!H39:H40)</f>
        <v>1042600</v>
      </c>
      <c r="K11" s="102">
        <f>SUM([1]Zał.2Przedsięwzięcia!H48)</f>
        <v>32800</v>
      </c>
    </row>
    <row r="12" spans="1:25" s="103" customFormat="1" ht="12">
      <c r="A12" s="101">
        <v>2015</v>
      </c>
      <c r="B12" s="102">
        <f t="shared" si="0"/>
        <v>1075300</v>
      </c>
      <c r="C12" s="102">
        <f t="shared" si="1"/>
        <v>32700</v>
      </c>
      <c r="D12" s="102">
        <f t="shared" si="2"/>
        <v>1042600</v>
      </c>
      <c r="E12" s="102">
        <f t="shared" si="3"/>
        <v>0</v>
      </c>
      <c r="F12" s="102">
        <v>0</v>
      </c>
      <c r="G12" s="102">
        <v>0</v>
      </c>
      <c r="H12" s="102">
        <f t="shared" si="4"/>
        <v>1042600</v>
      </c>
      <c r="I12" s="102">
        <f>SUM([1]Zał.2Przedsięwzięcia!I26)</f>
        <v>0</v>
      </c>
      <c r="J12" s="102">
        <f>SUM('Zał.2 Przeds.'!I39:I40)</f>
        <v>1042600</v>
      </c>
      <c r="K12" s="102">
        <f>SUM([1]Zał.2Przedsięwzięcia!I48)</f>
        <v>32700</v>
      </c>
    </row>
    <row r="13" spans="1:25" s="103" customFormat="1" ht="12">
      <c r="A13" s="101">
        <v>2016</v>
      </c>
      <c r="B13" s="102">
        <f t="shared" si="0"/>
        <v>1075100</v>
      </c>
      <c r="C13" s="102">
        <f t="shared" si="1"/>
        <v>32500</v>
      </c>
      <c r="D13" s="102">
        <f t="shared" si="2"/>
        <v>1042600</v>
      </c>
      <c r="E13" s="102">
        <f t="shared" si="3"/>
        <v>0</v>
      </c>
      <c r="F13" s="102">
        <v>0</v>
      </c>
      <c r="G13" s="102">
        <v>0</v>
      </c>
      <c r="H13" s="102">
        <f t="shared" si="4"/>
        <v>1042600</v>
      </c>
      <c r="I13" s="102">
        <v>0</v>
      </c>
      <c r="J13" s="102">
        <f>SUM('Zał.2 Przeds.'!J39:J40)</f>
        <v>1042600</v>
      </c>
      <c r="K13" s="102">
        <f>SUM([1]Zał.2Przedsięwzięcia!J48)</f>
        <v>32500</v>
      </c>
    </row>
    <row r="14" spans="1:25" s="103" customFormat="1" ht="12">
      <c r="A14" s="101">
        <v>2017</v>
      </c>
      <c r="B14" s="102">
        <f t="shared" si="0"/>
        <v>1074700</v>
      </c>
      <c r="C14" s="102">
        <f t="shared" si="1"/>
        <v>32100</v>
      </c>
      <c r="D14" s="102">
        <f t="shared" si="2"/>
        <v>1042600</v>
      </c>
      <c r="E14" s="102">
        <f t="shared" si="3"/>
        <v>0</v>
      </c>
      <c r="F14" s="102">
        <v>0</v>
      </c>
      <c r="G14" s="102">
        <v>0</v>
      </c>
      <c r="H14" s="102">
        <f t="shared" si="4"/>
        <v>1042600</v>
      </c>
      <c r="I14" s="102">
        <v>0</v>
      </c>
      <c r="J14" s="102">
        <f>SUM('Zał.2 Przeds.'!K39:K40)</f>
        <v>1042600</v>
      </c>
      <c r="K14" s="102">
        <f>SUM([1]Zał.2Przedsięwzięcia!K48)</f>
        <v>32100</v>
      </c>
    </row>
    <row r="15" spans="1:25" s="103" customFormat="1" ht="12">
      <c r="A15" s="101">
        <v>2018</v>
      </c>
      <c r="B15" s="102">
        <f t="shared" si="0"/>
        <v>1074200</v>
      </c>
      <c r="C15" s="102">
        <f t="shared" si="1"/>
        <v>31600</v>
      </c>
      <c r="D15" s="102">
        <f t="shared" si="2"/>
        <v>1042600</v>
      </c>
      <c r="E15" s="102">
        <f t="shared" si="3"/>
        <v>0</v>
      </c>
      <c r="F15" s="102">
        <v>0</v>
      </c>
      <c r="G15" s="102">
        <v>0</v>
      </c>
      <c r="H15" s="102">
        <f t="shared" si="4"/>
        <v>1042600</v>
      </c>
      <c r="I15" s="102">
        <v>0</v>
      </c>
      <c r="J15" s="102">
        <f>SUM('Zał.2 Przeds.'!P39:P40)</f>
        <v>1042600</v>
      </c>
      <c r="K15" s="102">
        <f>SUM([1]Zał.2Przedsięwzięcia!L48)</f>
        <v>31600</v>
      </c>
    </row>
    <row r="16" spans="1:25" s="103" customFormat="1" ht="12">
      <c r="A16" s="101">
        <v>2019</v>
      </c>
      <c r="B16" s="102">
        <f t="shared" si="0"/>
        <v>1073600</v>
      </c>
      <c r="C16" s="102">
        <f t="shared" si="1"/>
        <v>31000</v>
      </c>
      <c r="D16" s="102">
        <f t="shared" si="2"/>
        <v>1042600</v>
      </c>
      <c r="E16" s="102">
        <f t="shared" si="3"/>
        <v>0</v>
      </c>
      <c r="F16" s="102">
        <v>0</v>
      </c>
      <c r="G16" s="102">
        <v>0</v>
      </c>
      <c r="H16" s="102">
        <f t="shared" si="4"/>
        <v>1042600</v>
      </c>
      <c r="I16" s="102">
        <v>0</v>
      </c>
      <c r="J16" s="102">
        <f>SUM('Zał.2 Przeds.'!Q39:Q40)</f>
        <v>1042600</v>
      </c>
      <c r="K16" s="102">
        <f>SUM([1]Zał.2Przedsięwzięcia!Q48)</f>
        <v>31000</v>
      </c>
    </row>
    <row r="17" spans="1:11" s="103" customFormat="1" ht="12">
      <c r="A17" s="101">
        <v>2020</v>
      </c>
      <c r="B17" s="102">
        <f t="shared" si="0"/>
        <v>1072900</v>
      </c>
      <c r="C17" s="102">
        <f t="shared" si="1"/>
        <v>30300</v>
      </c>
      <c r="D17" s="102">
        <f t="shared" si="2"/>
        <v>1042600</v>
      </c>
      <c r="E17" s="102">
        <f t="shared" si="3"/>
        <v>0</v>
      </c>
      <c r="F17" s="102">
        <v>0</v>
      </c>
      <c r="G17" s="102">
        <v>0</v>
      </c>
      <c r="H17" s="102">
        <f t="shared" si="4"/>
        <v>1042600</v>
      </c>
      <c r="I17" s="102">
        <v>0</v>
      </c>
      <c r="J17" s="102">
        <f>SUM('Zał.2 Przeds.'!R39:R40)</f>
        <v>1042600</v>
      </c>
      <c r="K17" s="102">
        <f>SUM([1]Zał.2Przedsięwzięcia!R48)</f>
        <v>30300</v>
      </c>
    </row>
    <row r="18" spans="1:11" s="103" customFormat="1" ht="12">
      <c r="A18" s="101">
        <v>2021</v>
      </c>
      <c r="B18" s="102">
        <f t="shared" si="0"/>
        <v>1072100</v>
      </c>
      <c r="C18" s="102">
        <f t="shared" si="1"/>
        <v>29500</v>
      </c>
      <c r="D18" s="102">
        <f t="shared" si="2"/>
        <v>1042600</v>
      </c>
      <c r="E18" s="102">
        <f t="shared" si="3"/>
        <v>0</v>
      </c>
      <c r="F18" s="102">
        <v>0</v>
      </c>
      <c r="G18" s="102">
        <v>0</v>
      </c>
      <c r="H18" s="102">
        <f t="shared" si="4"/>
        <v>1042600</v>
      </c>
      <c r="I18" s="102">
        <v>0</v>
      </c>
      <c r="J18" s="102">
        <f>SUM('Zał.2 Przeds.'!S39:S40)</f>
        <v>1042600</v>
      </c>
      <c r="K18" s="102">
        <f>SUM([1]Zał.2Przedsięwzięcia!S48)</f>
        <v>29500</v>
      </c>
    </row>
    <row r="19" spans="1:11" s="103" customFormat="1" ht="12">
      <c r="A19" s="101">
        <v>2022</v>
      </c>
      <c r="B19" s="102">
        <f t="shared" si="0"/>
        <v>1071200</v>
      </c>
      <c r="C19" s="102">
        <f t="shared" si="1"/>
        <v>28600</v>
      </c>
      <c r="D19" s="102">
        <f t="shared" si="2"/>
        <v>1042600</v>
      </c>
      <c r="E19" s="102">
        <f t="shared" si="3"/>
        <v>0</v>
      </c>
      <c r="F19" s="102">
        <v>0</v>
      </c>
      <c r="G19" s="102">
        <v>0</v>
      </c>
      <c r="H19" s="102">
        <f t="shared" si="4"/>
        <v>1042600</v>
      </c>
      <c r="I19" s="102">
        <v>0</v>
      </c>
      <c r="J19" s="102">
        <f>SUM('Zał.2 Przeds.'!T39:T40)</f>
        <v>1042600</v>
      </c>
      <c r="K19" s="102">
        <f>SUM([1]Zał.2Przedsięwzięcia!T48)</f>
        <v>28600</v>
      </c>
    </row>
    <row r="20" spans="1:11" s="103" customFormat="1" ht="12">
      <c r="A20" s="101">
        <v>2023</v>
      </c>
      <c r="B20" s="102">
        <f t="shared" si="0"/>
        <v>1070200</v>
      </c>
      <c r="C20" s="102">
        <f t="shared" si="1"/>
        <v>27600</v>
      </c>
      <c r="D20" s="102">
        <f t="shared" si="2"/>
        <v>1042600</v>
      </c>
      <c r="E20" s="102">
        <f t="shared" si="3"/>
        <v>0</v>
      </c>
      <c r="F20" s="102">
        <v>0</v>
      </c>
      <c r="G20" s="102">
        <v>0</v>
      </c>
      <c r="H20" s="102">
        <f t="shared" si="4"/>
        <v>1042600</v>
      </c>
      <c r="I20" s="102">
        <v>0</v>
      </c>
      <c r="J20" s="102">
        <f>SUM('Zał.2 Przeds.'!U39:U40)</f>
        <v>1042600</v>
      </c>
      <c r="K20" s="102">
        <f>SUM([1]Zał.2Przedsięwzięcia!U48)</f>
        <v>27600</v>
      </c>
    </row>
    <row r="21" spans="1:11" s="103" customFormat="1" ht="12">
      <c r="A21" s="101">
        <v>2024</v>
      </c>
      <c r="B21" s="102">
        <f t="shared" si="0"/>
        <v>1069100</v>
      </c>
      <c r="C21" s="102">
        <f t="shared" si="1"/>
        <v>26500</v>
      </c>
      <c r="D21" s="102">
        <f t="shared" si="2"/>
        <v>1042600</v>
      </c>
      <c r="E21" s="102">
        <f t="shared" si="3"/>
        <v>0</v>
      </c>
      <c r="F21" s="102">
        <v>0</v>
      </c>
      <c r="G21" s="102">
        <v>0</v>
      </c>
      <c r="H21" s="102">
        <f t="shared" si="4"/>
        <v>1042600</v>
      </c>
      <c r="I21" s="102">
        <v>0</v>
      </c>
      <c r="J21" s="102">
        <f>SUM('Zał.2 Przeds.'!V39:V40)</f>
        <v>1042600</v>
      </c>
      <c r="K21" s="102">
        <f>SUM([1]Zał.2Przedsięwzięcia!V49)</f>
        <v>26500</v>
      </c>
    </row>
    <row r="22" spans="1:11" s="103" customFormat="1" ht="12">
      <c r="A22" s="101">
        <v>2025</v>
      </c>
      <c r="B22" s="102">
        <f t="shared" si="0"/>
        <v>1068000</v>
      </c>
      <c r="C22" s="102">
        <f t="shared" si="1"/>
        <v>25400</v>
      </c>
      <c r="D22" s="102">
        <f t="shared" si="2"/>
        <v>1042600</v>
      </c>
      <c r="E22" s="102">
        <f t="shared" si="3"/>
        <v>0</v>
      </c>
      <c r="F22" s="102">
        <v>0</v>
      </c>
      <c r="G22" s="102">
        <v>0</v>
      </c>
      <c r="H22" s="102">
        <f t="shared" si="4"/>
        <v>1042600</v>
      </c>
      <c r="I22" s="102">
        <v>0</v>
      </c>
      <c r="J22" s="102">
        <f>SUM('Zał.2 Przeds.'!AA39:AA40)</f>
        <v>1042600</v>
      </c>
      <c r="K22" s="102">
        <f>SUM([1]Zał.2Przedsięwzięcia!W49)</f>
        <v>25400</v>
      </c>
    </row>
    <row r="23" spans="1:11" s="103" customFormat="1" ht="12">
      <c r="A23" s="101">
        <v>2026</v>
      </c>
      <c r="B23" s="102">
        <f t="shared" si="0"/>
        <v>1066800</v>
      </c>
      <c r="C23" s="102">
        <f t="shared" si="1"/>
        <v>24200</v>
      </c>
      <c r="D23" s="102">
        <f t="shared" si="2"/>
        <v>1042600</v>
      </c>
      <c r="E23" s="102">
        <f t="shared" si="3"/>
        <v>0</v>
      </c>
      <c r="F23" s="102">
        <v>0</v>
      </c>
      <c r="G23" s="102">
        <v>0</v>
      </c>
      <c r="H23" s="102">
        <f t="shared" si="4"/>
        <v>1042600</v>
      </c>
      <c r="I23" s="102">
        <v>0</v>
      </c>
      <c r="J23" s="102">
        <f>SUM('Zał.2 Przeds.'!AB39:AB40)</f>
        <v>1042600</v>
      </c>
      <c r="K23" s="102">
        <f>SUM([1]Zał.2Przedsięwzięcia!X49)</f>
        <v>24200</v>
      </c>
    </row>
    <row r="24" spans="1:11" s="103" customFormat="1" ht="12">
      <c r="A24" s="101">
        <v>2027</v>
      </c>
      <c r="B24" s="102">
        <f t="shared" si="0"/>
        <v>1065700</v>
      </c>
      <c r="C24" s="102">
        <f t="shared" si="1"/>
        <v>23100</v>
      </c>
      <c r="D24" s="102">
        <f t="shared" si="2"/>
        <v>1042600</v>
      </c>
      <c r="E24" s="102">
        <f t="shared" si="3"/>
        <v>0</v>
      </c>
      <c r="F24" s="102">
        <v>0</v>
      </c>
      <c r="G24" s="102">
        <v>0</v>
      </c>
      <c r="H24" s="102">
        <f t="shared" si="4"/>
        <v>1042600</v>
      </c>
      <c r="I24" s="102">
        <v>0</v>
      </c>
      <c r="J24" s="102">
        <f>SUM('Zał.2 Przeds.'!AC39:AC40)</f>
        <v>1042600</v>
      </c>
      <c r="K24" s="102">
        <f>SUM([1]Zał.2Przedsięwzięcia!AC49)</f>
        <v>23100</v>
      </c>
    </row>
    <row r="25" spans="1:11" s="103" customFormat="1" ht="12">
      <c r="A25" s="101">
        <v>2028</v>
      </c>
      <c r="B25" s="102">
        <f t="shared" si="0"/>
        <v>22000</v>
      </c>
      <c r="C25" s="102">
        <f t="shared" si="1"/>
        <v>22000</v>
      </c>
      <c r="D25" s="102">
        <f t="shared" si="2"/>
        <v>0</v>
      </c>
      <c r="E25" s="102">
        <f t="shared" si="3"/>
        <v>0</v>
      </c>
      <c r="F25" s="102">
        <v>0</v>
      </c>
      <c r="G25" s="102">
        <v>0</v>
      </c>
      <c r="H25" s="102">
        <f t="shared" si="4"/>
        <v>0</v>
      </c>
      <c r="I25" s="102">
        <v>0</v>
      </c>
      <c r="J25" s="102">
        <v>0</v>
      </c>
      <c r="K25" s="102">
        <f>SUM([1]Zał.2Przedsięwzięcia!AD48)</f>
        <v>22000</v>
      </c>
    </row>
    <row r="26" spans="1:11" s="103" customFormat="1" ht="12">
      <c r="A26" s="101">
        <v>2029</v>
      </c>
      <c r="B26" s="102">
        <f t="shared" si="0"/>
        <v>21000</v>
      </c>
      <c r="C26" s="102">
        <f t="shared" si="1"/>
        <v>21000</v>
      </c>
      <c r="D26" s="102">
        <f t="shared" si="2"/>
        <v>0</v>
      </c>
      <c r="E26" s="102">
        <f t="shared" si="3"/>
        <v>0</v>
      </c>
      <c r="F26" s="102">
        <v>0</v>
      </c>
      <c r="G26" s="102">
        <v>0</v>
      </c>
      <c r="H26" s="102">
        <f t="shared" si="4"/>
        <v>0</v>
      </c>
      <c r="I26" s="102">
        <v>0</v>
      </c>
      <c r="J26" s="102">
        <v>0</v>
      </c>
      <c r="K26" s="102">
        <f>SUM([1]Zał.2Przedsięwzięcia!AE48)</f>
        <v>21000</v>
      </c>
    </row>
    <row r="27" spans="1:11" s="103" customFormat="1" ht="12">
      <c r="A27" s="101">
        <v>2030</v>
      </c>
      <c r="B27" s="102">
        <f t="shared" si="0"/>
        <v>20000</v>
      </c>
      <c r="C27" s="102">
        <f t="shared" si="1"/>
        <v>20000</v>
      </c>
      <c r="D27" s="102">
        <f t="shared" si="2"/>
        <v>0</v>
      </c>
      <c r="E27" s="102">
        <f t="shared" si="3"/>
        <v>0</v>
      </c>
      <c r="F27" s="102">
        <v>0</v>
      </c>
      <c r="G27" s="102">
        <v>0</v>
      </c>
      <c r="H27" s="102">
        <f t="shared" si="4"/>
        <v>0</v>
      </c>
      <c r="I27" s="102">
        <v>0</v>
      </c>
      <c r="J27" s="102">
        <v>0</v>
      </c>
      <c r="K27" s="102">
        <f>SUM([1]Zał.2Przedsięwzięcia!AF48)</f>
        <v>20000</v>
      </c>
    </row>
    <row r="28" spans="1:11" s="103" customFormat="1" ht="12">
      <c r="A28" s="101">
        <v>2031</v>
      </c>
      <c r="B28" s="102">
        <f t="shared" si="0"/>
        <v>19100</v>
      </c>
      <c r="C28" s="102">
        <f t="shared" si="1"/>
        <v>19100</v>
      </c>
      <c r="D28" s="102">
        <f t="shared" si="2"/>
        <v>0</v>
      </c>
      <c r="E28" s="102">
        <f t="shared" si="3"/>
        <v>0</v>
      </c>
      <c r="F28" s="102">
        <v>0</v>
      </c>
      <c r="G28" s="102">
        <v>0</v>
      </c>
      <c r="H28" s="102">
        <f t="shared" si="4"/>
        <v>0</v>
      </c>
      <c r="I28" s="102">
        <v>0</v>
      </c>
      <c r="J28" s="102">
        <v>0</v>
      </c>
      <c r="K28" s="102">
        <f>SUM([1]Zał.2Przedsięwzięcia!AG48)</f>
        <v>19100</v>
      </c>
    </row>
    <row r="29" spans="1:11" s="103" customFormat="1" ht="12">
      <c r="A29" s="101">
        <v>2032</v>
      </c>
      <c r="B29" s="102">
        <f t="shared" si="0"/>
        <v>18200</v>
      </c>
      <c r="C29" s="102">
        <f t="shared" si="1"/>
        <v>18200</v>
      </c>
      <c r="D29" s="102">
        <f t="shared" si="2"/>
        <v>0</v>
      </c>
      <c r="E29" s="102">
        <f t="shared" si="3"/>
        <v>0</v>
      </c>
      <c r="F29" s="102">
        <v>0</v>
      </c>
      <c r="G29" s="102">
        <v>0</v>
      </c>
      <c r="H29" s="102">
        <f t="shared" si="4"/>
        <v>0</v>
      </c>
      <c r="I29" s="102">
        <v>0</v>
      </c>
      <c r="J29" s="102">
        <v>0</v>
      </c>
      <c r="K29" s="102">
        <f>SUM([1]Zał.2Przedsięwzięcia!AH48)</f>
        <v>18200</v>
      </c>
    </row>
    <row r="30" spans="1:11" s="103" customFormat="1" ht="12">
      <c r="A30" s="101">
        <v>2033</v>
      </c>
      <c r="B30" s="102">
        <f t="shared" si="0"/>
        <v>17300</v>
      </c>
      <c r="C30" s="102">
        <f t="shared" si="1"/>
        <v>17300</v>
      </c>
      <c r="D30" s="102">
        <f t="shared" si="2"/>
        <v>0</v>
      </c>
      <c r="E30" s="102">
        <f t="shared" si="3"/>
        <v>0</v>
      </c>
      <c r="F30" s="102">
        <v>0</v>
      </c>
      <c r="G30" s="102">
        <v>0</v>
      </c>
      <c r="H30" s="102">
        <f t="shared" si="4"/>
        <v>0</v>
      </c>
      <c r="I30" s="102">
        <v>0</v>
      </c>
      <c r="J30" s="102">
        <v>0</v>
      </c>
      <c r="K30" s="102">
        <f>SUM([1]Zał.2Przedsięwzięcia!AI48)</f>
        <v>17300</v>
      </c>
    </row>
    <row r="31" spans="1:11" s="103" customFormat="1" ht="12">
      <c r="A31" s="101">
        <v>2034</v>
      </c>
      <c r="B31" s="102">
        <f t="shared" si="0"/>
        <v>16500</v>
      </c>
      <c r="C31" s="102">
        <f t="shared" si="1"/>
        <v>16500</v>
      </c>
      <c r="D31" s="102">
        <f t="shared" si="2"/>
        <v>0</v>
      </c>
      <c r="E31" s="102">
        <f t="shared" si="3"/>
        <v>0</v>
      </c>
      <c r="F31" s="102">
        <v>0</v>
      </c>
      <c r="G31" s="102">
        <v>0</v>
      </c>
      <c r="H31" s="102">
        <f t="shared" si="4"/>
        <v>0</v>
      </c>
      <c r="I31" s="102">
        <v>0</v>
      </c>
      <c r="J31" s="102">
        <v>0</v>
      </c>
      <c r="K31" s="102">
        <f>SUM([1]Zał.2Przedsięwzięcia!AJ48)</f>
        <v>16500</v>
      </c>
    </row>
    <row r="32" spans="1:11" s="103" customFormat="1" ht="12">
      <c r="A32" s="101">
        <v>2035</v>
      </c>
      <c r="B32" s="102">
        <f t="shared" si="0"/>
        <v>15800</v>
      </c>
      <c r="C32" s="102">
        <f t="shared" si="1"/>
        <v>15800</v>
      </c>
      <c r="D32" s="102">
        <f t="shared" si="2"/>
        <v>0</v>
      </c>
      <c r="E32" s="102">
        <f t="shared" si="3"/>
        <v>0</v>
      </c>
      <c r="F32" s="102">
        <v>0</v>
      </c>
      <c r="G32" s="102">
        <v>0</v>
      </c>
      <c r="H32" s="102">
        <f t="shared" si="4"/>
        <v>0</v>
      </c>
      <c r="I32" s="102">
        <v>0</v>
      </c>
      <c r="J32" s="102">
        <v>0</v>
      </c>
      <c r="K32" s="102">
        <f>SUM([1]Zał.2Przedsięwzięcia!AO48)</f>
        <v>15800</v>
      </c>
    </row>
    <row r="33" spans="1:25" s="103" customFormat="1" ht="12">
      <c r="A33" s="101">
        <v>2036</v>
      </c>
      <c r="B33" s="102">
        <f t="shared" si="0"/>
        <v>13600</v>
      </c>
      <c r="C33" s="102">
        <f t="shared" si="1"/>
        <v>13600</v>
      </c>
      <c r="D33" s="102">
        <f t="shared" si="2"/>
        <v>0</v>
      </c>
      <c r="E33" s="102">
        <f t="shared" si="3"/>
        <v>0</v>
      </c>
      <c r="F33" s="102">
        <v>0</v>
      </c>
      <c r="G33" s="102">
        <v>0</v>
      </c>
      <c r="H33" s="102">
        <f t="shared" si="4"/>
        <v>0</v>
      </c>
      <c r="I33" s="102">
        <v>0</v>
      </c>
      <c r="J33" s="102">
        <v>0</v>
      </c>
      <c r="K33" s="102">
        <f>SUM([1]Zał.2Przedsięwzięcia!AP48)</f>
        <v>13600</v>
      </c>
    </row>
    <row r="34" spans="1:25" s="103" customFormat="1" ht="12">
      <c r="A34" s="101">
        <v>2037</v>
      </c>
      <c r="B34" s="102">
        <f t="shared" si="0"/>
        <v>13000</v>
      </c>
      <c r="C34" s="102">
        <f t="shared" si="1"/>
        <v>13000</v>
      </c>
      <c r="D34" s="102">
        <f t="shared" si="2"/>
        <v>0</v>
      </c>
      <c r="E34" s="102">
        <f t="shared" si="3"/>
        <v>0</v>
      </c>
      <c r="F34" s="102">
        <v>0</v>
      </c>
      <c r="G34" s="102">
        <v>0</v>
      </c>
      <c r="H34" s="102">
        <f t="shared" si="4"/>
        <v>0</v>
      </c>
      <c r="I34" s="102">
        <v>0</v>
      </c>
      <c r="J34" s="102">
        <v>0</v>
      </c>
      <c r="K34" s="102">
        <f>SUM([1]Zał.2Przedsięwzięcia!AQ48)</f>
        <v>13000</v>
      </c>
    </row>
    <row r="35" spans="1:25" s="103" customFormat="1" ht="12">
      <c r="A35" s="101">
        <v>2038</v>
      </c>
      <c r="B35" s="102">
        <f t="shared" si="0"/>
        <v>12500</v>
      </c>
      <c r="C35" s="102">
        <f t="shared" si="1"/>
        <v>12500</v>
      </c>
      <c r="D35" s="102">
        <f t="shared" si="2"/>
        <v>0</v>
      </c>
      <c r="E35" s="102">
        <f t="shared" si="3"/>
        <v>0</v>
      </c>
      <c r="F35" s="102">
        <v>0</v>
      </c>
      <c r="G35" s="102">
        <v>0</v>
      </c>
      <c r="H35" s="102">
        <f t="shared" si="4"/>
        <v>0</v>
      </c>
      <c r="I35" s="102">
        <v>0</v>
      </c>
      <c r="J35" s="102">
        <v>0</v>
      </c>
      <c r="K35" s="102">
        <f>SUM([1]Zał.2Przedsięwzięcia!AR48)</f>
        <v>12500</v>
      </c>
    </row>
    <row r="36" spans="1:25" s="103" customFormat="1" ht="12">
      <c r="A36" s="101">
        <v>2039</v>
      </c>
      <c r="B36" s="102">
        <f t="shared" si="0"/>
        <v>12500</v>
      </c>
      <c r="C36" s="102">
        <f t="shared" si="1"/>
        <v>12500</v>
      </c>
      <c r="D36" s="102">
        <f t="shared" si="2"/>
        <v>0</v>
      </c>
      <c r="E36" s="102">
        <f t="shared" si="3"/>
        <v>0</v>
      </c>
      <c r="F36" s="102">
        <v>0</v>
      </c>
      <c r="G36" s="102">
        <v>0</v>
      </c>
      <c r="H36" s="102">
        <f t="shared" si="4"/>
        <v>0</v>
      </c>
      <c r="I36" s="102">
        <v>0</v>
      </c>
      <c r="J36" s="102">
        <v>0</v>
      </c>
      <c r="K36" s="102">
        <f>SUM([1]Zał.2Przedsięwzięcia!AS48)</f>
        <v>12500</v>
      </c>
    </row>
    <row r="37" spans="1:25" s="103" customFormat="1" ht="12">
      <c r="A37" s="101">
        <v>2040</v>
      </c>
      <c r="B37" s="102">
        <f t="shared" si="0"/>
        <v>12500</v>
      </c>
      <c r="C37" s="102">
        <f t="shared" si="1"/>
        <v>12500</v>
      </c>
      <c r="D37" s="102">
        <f t="shared" si="2"/>
        <v>0</v>
      </c>
      <c r="E37" s="102">
        <f t="shared" si="3"/>
        <v>0</v>
      </c>
      <c r="F37" s="102">
        <v>0</v>
      </c>
      <c r="G37" s="102">
        <v>0</v>
      </c>
      <c r="H37" s="102">
        <f t="shared" si="4"/>
        <v>0</v>
      </c>
      <c r="I37" s="102">
        <v>0</v>
      </c>
      <c r="J37" s="102">
        <v>0</v>
      </c>
      <c r="K37" s="102">
        <f>SUM([1]Zał.2Przedsięwzięcia!AT48)</f>
        <v>12500</v>
      </c>
    </row>
    <row r="38" spans="1:25" s="103" customFormat="1" ht="12">
      <c r="A38" s="101">
        <v>2041</v>
      </c>
      <c r="B38" s="102">
        <f t="shared" si="0"/>
        <v>12300</v>
      </c>
      <c r="C38" s="102">
        <f t="shared" si="1"/>
        <v>12300</v>
      </c>
      <c r="D38" s="102">
        <f t="shared" si="2"/>
        <v>0</v>
      </c>
      <c r="E38" s="102">
        <f t="shared" si="3"/>
        <v>0</v>
      </c>
      <c r="F38" s="102">
        <v>0</v>
      </c>
      <c r="G38" s="102">
        <v>0</v>
      </c>
      <c r="H38" s="102">
        <f t="shared" si="4"/>
        <v>0</v>
      </c>
      <c r="I38" s="102">
        <v>0</v>
      </c>
      <c r="J38" s="102">
        <v>0</v>
      </c>
      <c r="K38" s="102">
        <f>SUM([1]Zał.2Przedsięwzięcia!AU48)</f>
        <v>12300</v>
      </c>
    </row>
    <row r="39" spans="1:25" s="103" customFormat="1" ht="12">
      <c r="A39" s="101">
        <v>2042</v>
      </c>
      <c r="B39" s="102">
        <f t="shared" si="0"/>
        <v>12200</v>
      </c>
      <c r="C39" s="102">
        <f t="shared" si="1"/>
        <v>12200</v>
      </c>
      <c r="D39" s="102">
        <f t="shared" si="2"/>
        <v>0</v>
      </c>
      <c r="E39" s="102">
        <f t="shared" si="3"/>
        <v>0</v>
      </c>
      <c r="F39" s="102">
        <v>0</v>
      </c>
      <c r="G39" s="102">
        <v>0</v>
      </c>
      <c r="H39" s="102">
        <f t="shared" si="4"/>
        <v>0</v>
      </c>
      <c r="I39" s="102">
        <v>0</v>
      </c>
      <c r="J39" s="102">
        <v>0</v>
      </c>
      <c r="K39" s="102">
        <f>SUM([1]Zał.2Przedsięwzięcia!AV48)</f>
        <v>12200</v>
      </c>
    </row>
    <row r="40" spans="1:25" s="103" customFormat="1" ht="12">
      <c r="A40" s="101">
        <v>2043</v>
      </c>
      <c r="B40" s="102">
        <f t="shared" si="0"/>
        <v>10000</v>
      </c>
      <c r="C40" s="102">
        <f t="shared" si="1"/>
        <v>10000</v>
      </c>
      <c r="D40" s="102">
        <f t="shared" si="2"/>
        <v>0</v>
      </c>
      <c r="E40" s="102">
        <f t="shared" si="3"/>
        <v>0</v>
      </c>
      <c r="F40" s="102">
        <v>0</v>
      </c>
      <c r="G40" s="102">
        <v>0</v>
      </c>
      <c r="H40" s="102">
        <f t="shared" si="4"/>
        <v>0</v>
      </c>
      <c r="I40" s="102">
        <v>0</v>
      </c>
      <c r="J40" s="102">
        <v>0</v>
      </c>
      <c r="K40" s="102">
        <f>SUM([1]Zał.2Przedsięwzięcia!BA48)</f>
        <v>10000</v>
      </c>
    </row>
    <row r="41" spans="1:25" s="103" customFormat="1" ht="12">
      <c r="A41" s="101">
        <v>2044</v>
      </c>
      <c r="B41" s="102">
        <f t="shared" si="0"/>
        <v>11900</v>
      </c>
      <c r="C41" s="102">
        <f t="shared" si="1"/>
        <v>11900</v>
      </c>
      <c r="D41" s="102">
        <f t="shared" si="2"/>
        <v>0</v>
      </c>
      <c r="E41" s="102">
        <f t="shared" si="3"/>
        <v>0</v>
      </c>
      <c r="F41" s="102">
        <v>0</v>
      </c>
      <c r="G41" s="102">
        <v>0</v>
      </c>
      <c r="H41" s="102">
        <f t="shared" si="4"/>
        <v>0</v>
      </c>
      <c r="I41" s="102">
        <v>0</v>
      </c>
      <c r="J41" s="102">
        <v>0</v>
      </c>
      <c r="K41" s="102">
        <f>SUM([1]Zał.2Przedsięwzięcia!BB48)</f>
        <v>11900</v>
      </c>
    </row>
    <row r="42" spans="1:25" s="103" customFormat="1" ht="12">
      <c r="A42" s="101">
        <v>2045</v>
      </c>
      <c r="B42" s="102">
        <f t="shared" si="0"/>
        <v>11800</v>
      </c>
      <c r="C42" s="102">
        <f t="shared" si="1"/>
        <v>11800</v>
      </c>
      <c r="D42" s="102">
        <f t="shared" si="2"/>
        <v>0</v>
      </c>
      <c r="E42" s="102">
        <f t="shared" si="3"/>
        <v>0</v>
      </c>
      <c r="F42" s="102">
        <v>0</v>
      </c>
      <c r="G42" s="102">
        <v>0</v>
      </c>
      <c r="H42" s="102">
        <f t="shared" si="4"/>
        <v>0</v>
      </c>
      <c r="I42" s="102">
        <v>0</v>
      </c>
      <c r="J42" s="102">
        <v>0</v>
      </c>
      <c r="K42" s="102">
        <f>SUM([1]Zał.2Przedsięwzięcia!BC48)</f>
        <v>11800</v>
      </c>
    </row>
    <row r="43" spans="1: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1: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1:2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2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1:2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1: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2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1:2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1:2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: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1:2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spans="1:2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spans="1: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:2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spans="1:2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:2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spans="1:2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2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spans="1:2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spans="1:2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spans="1:2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2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2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</row>
    <row r="84" spans="1:2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spans="1:2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</row>
    <row r="86" spans="1:2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</row>
    <row r="87" spans="1:2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</row>
    <row r="88" spans="1:2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</row>
    <row r="89" spans="1:2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</row>
    <row r="90" spans="1:2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</row>
    <row r="91" spans="1:2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</row>
    <row r="92" spans="1:2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</row>
    <row r="93" spans="1:2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</row>
    <row r="94" spans="1:2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2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</row>
    <row r="96" spans="1:2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spans="1:2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</row>
    <row r="98" spans="1:2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1:2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</row>
    <row r="100" spans="1:2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</row>
    <row r="101" spans="1:2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</row>
    <row r="102" spans="1:2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</row>
    <row r="103" spans="1:2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</row>
    <row r="104" spans="1:2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</row>
    <row r="105" spans="1:2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</row>
    <row r="106" spans="1:2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</row>
  </sheetData>
  <mergeCells count="6">
    <mergeCell ref="A4:K4"/>
    <mergeCell ref="A5:A6"/>
    <mergeCell ref="B5:D5"/>
    <mergeCell ref="E5:G5"/>
    <mergeCell ref="H5:J5"/>
    <mergeCell ref="K5:K6"/>
  </mergeCells>
  <pageMargins left="0.16" right="0.17" top="0.28000000000000003" bottom="0.28000000000000003" header="0.22" footer="0.2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D17" sqref="D17"/>
    </sheetView>
  </sheetViews>
  <sheetFormatPr defaultRowHeight="14.25"/>
  <cols>
    <col min="1" max="1" width="18.625" bestFit="1" customWidth="1"/>
    <col min="2" max="10" width="11.625" customWidth="1"/>
  </cols>
  <sheetData>
    <row r="1" spans="1:10">
      <c r="A1" s="301" t="s">
        <v>144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s="110" customFormat="1" ht="16.5" customHeight="1">
      <c r="A2" s="285" t="s">
        <v>248</v>
      </c>
      <c r="B2" s="286"/>
      <c r="C2" s="286"/>
      <c r="D2" s="286"/>
      <c r="E2" s="286"/>
      <c r="F2" s="286"/>
      <c r="G2" s="286"/>
      <c r="H2" s="286"/>
      <c r="I2" s="286"/>
      <c r="J2" s="287"/>
    </row>
    <row r="3" spans="1:10" s="110" customFormat="1" ht="37.5" customHeight="1">
      <c r="A3" s="302" t="s">
        <v>240</v>
      </c>
      <c r="B3" s="304" t="s">
        <v>202</v>
      </c>
      <c r="C3" s="305"/>
      <c r="D3" s="305"/>
      <c r="E3" s="306" t="s">
        <v>249</v>
      </c>
      <c r="F3" s="307"/>
      <c r="G3" s="308"/>
      <c r="H3" s="306" t="s">
        <v>250</v>
      </c>
      <c r="I3" s="307"/>
      <c r="J3" s="308"/>
    </row>
    <row r="4" spans="1:10" s="110" customFormat="1" ht="25.5" customHeight="1">
      <c r="A4" s="303"/>
      <c r="B4" s="213" t="s">
        <v>242</v>
      </c>
      <c r="C4" s="214" t="s">
        <v>243</v>
      </c>
      <c r="D4" s="215" t="s">
        <v>244</v>
      </c>
      <c r="E4" s="105" t="s">
        <v>242</v>
      </c>
      <c r="F4" s="106" t="s">
        <v>243</v>
      </c>
      <c r="G4" s="107" t="s">
        <v>244</v>
      </c>
      <c r="H4" s="105" t="s">
        <v>242</v>
      </c>
      <c r="I4" s="106" t="s">
        <v>243</v>
      </c>
      <c r="J4" s="107" t="s">
        <v>244</v>
      </c>
    </row>
    <row r="5" spans="1:10" s="103" customFormat="1" ht="12">
      <c r="A5" s="111" t="s">
        <v>245</v>
      </c>
      <c r="B5" s="102">
        <f>SUM(C5:D5)</f>
        <v>82400544</v>
      </c>
      <c r="C5" s="102">
        <f>SUM(Zał.3Przeds.zb.!E13)</f>
        <v>750674</v>
      </c>
      <c r="D5" s="102">
        <f>SUM(Zał.3Przeds.zb.!E22)</f>
        <v>81649870</v>
      </c>
      <c r="E5" s="102">
        <f>SUM(F5:G5)</f>
        <v>0</v>
      </c>
      <c r="F5" s="102">
        <v>0</v>
      </c>
      <c r="G5" s="102">
        <v>0</v>
      </c>
      <c r="H5" s="102">
        <f>SUM(I5:J5)</f>
        <v>0</v>
      </c>
      <c r="I5" s="102">
        <v>0</v>
      </c>
      <c r="J5" s="102">
        <v>0</v>
      </c>
    </row>
    <row r="6" spans="1:10" s="103" customFormat="1" ht="12">
      <c r="A6" s="101" t="s">
        <v>246</v>
      </c>
      <c r="B6" s="102">
        <f>SUM(C6:D6)</f>
        <v>0</v>
      </c>
      <c r="C6" s="102">
        <f>SUM(Zał.3Przeds.zb.!G13)</f>
        <v>0</v>
      </c>
      <c r="D6" s="102">
        <f>SUM(Zał.3Przeds.zb.!G22:G23)</f>
        <v>0</v>
      </c>
      <c r="E6" s="102">
        <f>SUM(F6:G6)</f>
        <v>0</v>
      </c>
      <c r="F6" s="102">
        <v>0</v>
      </c>
      <c r="G6" s="102">
        <v>0</v>
      </c>
      <c r="H6" s="102">
        <f>SUM(I6:J6)</f>
        <v>0</v>
      </c>
      <c r="I6" s="102">
        <v>0</v>
      </c>
      <c r="J6" s="102">
        <v>0</v>
      </c>
    </row>
    <row r="7" spans="1:10" s="103" customFormat="1" ht="12">
      <c r="A7" s="101">
        <v>2012</v>
      </c>
      <c r="B7" s="102">
        <f t="shared" ref="B7:B28" si="0">SUM(C7:D7)</f>
        <v>20954208</v>
      </c>
      <c r="C7" s="102">
        <f>SUM('Zał.2 Przeds.'!F17)</f>
        <v>281808</v>
      </c>
      <c r="D7" s="102">
        <f>SUM('Zał.2 Przeds.'!F21:F22)</f>
        <v>20672400</v>
      </c>
      <c r="E7" s="102">
        <f t="shared" ref="E7:E28" si="1">SUM(F7:G7)</f>
        <v>0</v>
      </c>
      <c r="F7" s="102">
        <v>0</v>
      </c>
      <c r="G7" s="102">
        <v>0</v>
      </c>
      <c r="H7" s="102">
        <f t="shared" ref="H7:H28" si="2">SUM(I7:J7)</f>
        <v>0</v>
      </c>
      <c r="I7" s="102">
        <v>0</v>
      </c>
      <c r="J7" s="102">
        <v>0</v>
      </c>
    </row>
    <row r="8" spans="1:10" s="103" customFormat="1" ht="12">
      <c r="A8" s="101">
        <v>2013</v>
      </c>
      <c r="B8" s="102">
        <f t="shared" si="0"/>
        <v>4376120</v>
      </c>
      <c r="C8" s="102">
        <f>SUM('Zał.2 Przeds.'!G17)</f>
        <v>276120</v>
      </c>
      <c r="D8" s="102">
        <f>SUM('Zał.2 Przeds.'!G21:G22)</f>
        <v>4100000</v>
      </c>
      <c r="E8" s="102">
        <f t="shared" si="1"/>
        <v>0</v>
      </c>
      <c r="F8" s="102">
        <v>0</v>
      </c>
      <c r="G8" s="102">
        <v>0</v>
      </c>
      <c r="H8" s="102">
        <f t="shared" si="2"/>
        <v>0</v>
      </c>
      <c r="I8" s="102">
        <v>0</v>
      </c>
      <c r="J8" s="102">
        <v>0</v>
      </c>
    </row>
    <row r="9" spans="1:10" s="103" customFormat="1" ht="12">
      <c r="A9" s="101">
        <v>2014</v>
      </c>
      <c r="B9" s="102">
        <f t="shared" si="0"/>
        <v>130000</v>
      </c>
      <c r="C9" s="102">
        <f>SUM('Zał.2 Przeds.'!H17)</f>
        <v>130000</v>
      </c>
      <c r="D9" s="102">
        <v>0</v>
      </c>
      <c r="E9" s="102">
        <f t="shared" si="1"/>
        <v>0</v>
      </c>
      <c r="F9" s="102">
        <v>0</v>
      </c>
      <c r="G9" s="102">
        <v>0</v>
      </c>
      <c r="H9" s="102">
        <f t="shared" si="2"/>
        <v>0</v>
      </c>
      <c r="I9" s="102">
        <v>0</v>
      </c>
      <c r="J9" s="102">
        <v>0</v>
      </c>
    </row>
    <row r="10" spans="1:10" s="103" customFormat="1" ht="12">
      <c r="A10" s="101">
        <v>2015</v>
      </c>
      <c r="B10" s="102">
        <f t="shared" si="0"/>
        <v>0</v>
      </c>
      <c r="C10" s="102">
        <v>0</v>
      </c>
      <c r="D10" s="102">
        <v>0</v>
      </c>
      <c r="E10" s="102">
        <f t="shared" si="1"/>
        <v>0</v>
      </c>
      <c r="F10" s="102">
        <v>0</v>
      </c>
      <c r="G10" s="102">
        <v>0</v>
      </c>
      <c r="H10" s="102">
        <f t="shared" si="2"/>
        <v>0</v>
      </c>
      <c r="I10" s="102">
        <v>0</v>
      </c>
      <c r="J10" s="102">
        <v>0</v>
      </c>
    </row>
    <row r="11" spans="1:10" s="103" customFormat="1" ht="12">
      <c r="A11" s="101">
        <v>2016</v>
      </c>
      <c r="B11" s="102">
        <f t="shared" si="0"/>
        <v>0</v>
      </c>
      <c r="C11" s="102">
        <v>0</v>
      </c>
      <c r="D11" s="102">
        <v>0</v>
      </c>
      <c r="E11" s="102">
        <f t="shared" si="1"/>
        <v>0</v>
      </c>
      <c r="F11" s="102">
        <v>0</v>
      </c>
      <c r="G11" s="102">
        <v>0</v>
      </c>
      <c r="H11" s="102">
        <f t="shared" si="2"/>
        <v>0</v>
      </c>
      <c r="I11" s="102">
        <v>0</v>
      </c>
      <c r="J11" s="102">
        <v>0</v>
      </c>
    </row>
    <row r="12" spans="1:10" s="103" customFormat="1" ht="12">
      <c r="A12" s="101">
        <v>2017</v>
      </c>
      <c r="B12" s="102">
        <f t="shared" si="0"/>
        <v>0</v>
      </c>
      <c r="C12" s="102">
        <v>0</v>
      </c>
      <c r="D12" s="102">
        <v>0</v>
      </c>
      <c r="E12" s="102">
        <f t="shared" si="1"/>
        <v>0</v>
      </c>
      <c r="F12" s="102">
        <v>0</v>
      </c>
      <c r="G12" s="102">
        <v>0</v>
      </c>
      <c r="H12" s="102">
        <f t="shared" si="2"/>
        <v>0</v>
      </c>
      <c r="I12" s="102">
        <v>0</v>
      </c>
      <c r="J12" s="102">
        <v>0</v>
      </c>
    </row>
    <row r="13" spans="1:10" s="103" customFormat="1" ht="12">
      <c r="A13" s="101">
        <v>2018</v>
      </c>
      <c r="B13" s="102">
        <f t="shared" si="0"/>
        <v>0</v>
      </c>
      <c r="C13" s="102">
        <v>0</v>
      </c>
      <c r="D13" s="102">
        <v>0</v>
      </c>
      <c r="E13" s="102">
        <f t="shared" si="1"/>
        <v>0</v>
      </c>
      <c r="F13" s="102">
        <v>0</v>
      </c>
      <c r="G13" s="102">
        <v>0</v>
      </c>
      <c r="H13" s="102">
        <f t="shared" si="2"/>
        <v>0</v>
      </c>
      <c r="I13" s="102">
        <v>0</v>
      </c>
      <c r="J13" s="102">
        <v>0</v>
      </c>
    </row>
    <row r="14" spans="1:10" s="103" customFormat="1" ht="12">
      <c r="A14" s="101">
        <v>2019</v>
      </c>
      <c r="B14" s="102">
        <f t="shared" si="0"/>
        <v>0</v>
      </c>
      <c r="C14" s="102">
        <v>0</v>
      </c>
      <c r="D14" s="102">
        <v>0</v>
      </c>
      <c r="E14" s="102">
        <f t="shared" si="1"/>
        <v>0</v>
      </c>
      <c r="F14" s="102">
        <v>0</v>
      </c>
      <c r="G14" s="102">
        <v>0</v>
      </c>
      <c r="H14" s="102">
        <f t="shared" si="2"/>
        <v>0</v>
      </c>
      <c r="I14" s="102">
        <v>0</v>
      </c>
      <c r="J14" s="102">
        <v>0</v>
      </c>
    </row>
    <row r="15" spans="1:10" s="103" customFormat="1" ht="12">
      <c r="A15" s="101">
        <v>2020</v>
      </c>
      <c r="B15" s="102">
        <f t="shared" si="0"/>
        <v>0</v>
      </c>
      <c r="C15" s="102">
        <v>0</v>
      </c>
      <c r="D15" s="102">
        <v>0</v>
      </c>
      <c r="E15" s="102">
        <f t="shared" si="1"/>
        <v>0</v>
      </c>
      <c r="F15" s="102">
        <v>0</v>
      </c>
      <c r="G15" s="102">
        <v>0</v>
      </c>
      <c r="H15" s="102">
        <f t="shared" si="2"/>
        <v>0</v>
      </c>
      <c r="I15" s="102">
        <v>0</v>
      </c>
      <c r="J15" s="102">
        <v>0</v>
      </c>
    </row>
    <row r="16" spans="1:10" s="103" customFormat="1" ht="12">
      <c r="A16" s="101">
        <v>2021</v>
      </c>
      <c r="B16" s="102">
        <f t="shared" si="0"/>
        <v>0</v>
      </c>
      <c r="C16" s="102">
        <v>0</v>
      </c>
      <c r="D16" s="102">
        <v>0</v>
      </c>
      <c r="E16" s="102">
        <f t="shared" si="1"/>
        <v>0</v>
      </c>
      <c r="F16" s="102">
        <v>0</v>
      </c>
      <c r="G16" s="102">
        <v>0</v>
      </c>
      <c r="H16" s="102">
        <f t="shared" si="2"/>
        <v>0</v>
      </c>
      <c r="I16" s="102">
        <v>0</v>
      </c>
      <c r="J16" s="102">
        <v>0</v>
      </c>
    </row>
    <row r="17" spans="1:10" s="103" customFormat="1" ht="12">
      <c r="A17" s="101">
        <v>2022</v>
      </c>
      <c r="B17" s="102">
        <f t="shared" si="0"/>
        <v>0</v>
      </c>
      <c r="C17" s="102">
        <v>0</v>
      </c>
      <c r="D17" s="102">
        <v>0</v>
      </c>
      <c r="E17" s="102">
        <f t="shared" si="1"/>
        <v>0</v>
      </c>
      <c r="F17" s="102">
        <v>0</v>
      </c>
      <c r="G17" s="102">
        <v>0</v>
      </c>
      <c r="H17" s="102">
        <f t="shared" si="2"/>
        <v>0</v>
      </c>
      <c r="I17" s="102">
        <v>0</v>
      </c>
      <c r="J17" s="102">
        <v>0</v>
      </c>
    </row>
    <row r="18" spans="1:10" s="103" customFormat="1" ht="12">
      <c r="A18" s="101">
        <v>2023</v>
      </c>
      <c r="B18" s="102">
        <f t="shared" si="0"/>
        <v>0</v>
      </c>
      <c r="C18" s="102">
        <v>0</v>
      </c>
      <c r="D18" s="102">
        <v>0</v>
      </c>
      <c r="E18" s="102">
        <f t="shared" si="1"/>
        <v>0</v>
      </c>
      <c r="F18" s="102">
        <v>0</v>
      </c>
      <c r="G18" s="102">
        <v>0</v>
      </c>
      <c r="H18" s="102">
        <f t="shared" si="2"/>
        <v>0</v>
      </c>
      <c r="I18" s="102">
        <v>0</v>
      </c>
      <c r="J18" s="102">
        <v>0</v>
      </c>
    </row>
    <row r="19" spans="1:10" s="103" customFormat="1" ht="12">
      <c r="A19" s="101">
        <v>2024</v>
      </c>
      <c r="B19" s="102">
        <f t="shared" si="0"/>
        <v>0</v>
      </c>
      <c r="C19" s="102">
        <v>0</v>
      </c>
      <c r="D19" s="102">
        <v>0</v>
      </c>
      <c r="E19" s="102">
        <f t="shared" si="1"/>
        <v>0</v>
      </c>
      <c r="F19" s="102">
        <v>0</v>
      </c>
      <c r="G19" s="102">
        <v>0</v>
      </c>
      <c r="H19" s="102">
        <f t="shared" si="2"/>
        <v>0</v>
      </c>
      <c r="I19" s="102">
        <v>0</v>
      </c>
      <c r="J19" s="102">
        <v>0</v>
      </c>
    </row>
    <row r="20" spans="1:10" s="103" customFormat="1" ht="12">
      <c r="A20" s="101">
        <v>2025</v>
      </c>
      <c r="B20" s="102">
        <f t="shared" si="0"/>
        <v>0</v>
      </c>
      <c r="C20" s="102">
        <v>0</v>
      </c>
      <c r="D20" s="102">
        <v>0</v>
      </c>
      <c r="E20" s="102">
        <f t="shared" si="1"/>
        <v>0</v>
      </c>
      <c r="F20" s="102">
        <v>0</v>
      </c>
      <c r="G20" s="102">
        <v>0</v>
      </c>
      <c r="H20" s="102">
        <f t="shared" si="2"/>
        <v>0</v>
      </c>
      <c r="I20" s="102">
        <v>0</v>
      </c>
      <c r="J20" s="102">
        <v>0</v>
      </c>
    </row>
    <row r="21" spans="1:10" s="103" customFormat="1" ht="12">
      <c r="A21" s="101">
        <v>2026</v>
      </c>
      <c r="B21" s="102">
        <f t="shared" si="0"/>
        <v>0</v>
      </c>
      <c r="C21" s="102">
        <v>0</v>
      </c>
      <c r="D21" s="102">
        <v>0</v>
      </c>
      <c r="E21" s="102">
        <f t="shared" si="1"/>
        <v>0</v>
      </c>
      <c r="F21" s="102">
        <v>0</v>
      </c>
      <c r="G21" s="102">
        <v>0</v>
      </c>
      <c r="H21" s="102">
        <f t="shared" si="2"/>
        <v>0</v>
      </c>
      <c r="I21" s="102">
        <v>0</v>
      </c>
      <c r="J21" s="102">
        <v>0</v>
      </c>
    </row>
    <row r="22" spans="1:10" s="103" customFormat="1" ht="12">
      <c r="A22" s="101">
        <v>2027</v>
      </c>
      <c r="B22" s="102">
        <f t="shared" si="0"/>
        <v>0</v>
      </c>
      <c r="C22" s="102">
        <v>0</v>
      </c>
      <c r="D22" s="102">
        <v>0</v>
      </c>
      <c r="E22" s="102">
        <f t="shared" si="1"/>
        <v>0</v>
      </c>
      <c r="F22" s="102">
        <v>0</v>
      </c>
      <c r="G22" s="102">
        <v>0</v>
      </c>
      <c r="H22" s="102">
        <f t="shared" si="2"/>
        <v>0</v>
      </c>
      <c r="I22" s="102">
        <v>0</v>
      </c>
      <c r="J22" s="102">
        <v>0</v>
      </c>
    </row>
    <row r="23" spans="1:10" s="103" customFormat="1" ht="12">
      <c r="A23" s="101">
        <v>2028</v>
      </c>
      <c r="B23" s="102">
        <f t="shared" si="0"/>
        <v>0</v>
      </c>
      <c r="C23" s="102">
        <v>0</v>
      </c>
      <c r="D23" s="102">
        <v>0</v>
      </c>
      <c r="E23" s="102">
        <f t="shared" si="1"/>
        <v>0</v>
      </c>
      <c r="F23" s="102">
        <v>0</v>
      </c>
      <c r="G23" s="102">
        <v>0</v>
      </c>
      <c r="H23" s="102">
        <f t="shared" si="2"/>
        <v>0</v>
      </c>
      <c r="I23" s="102">
        <v>0</v>
      </c>
      <c r="J23" s="102">
        <v>0</v>
      </c>
    </row>
    <row r="24" spans="1:10" s="103" customFormat="1" ht="12">
      <c r="A24" s="101">
        <v>2029</v>
      </c>
      <c r="B24" s="102">
        <f t="shared" si="0"/>
        <v>0</v>
      </c>
      <c r="C24" s="102">
        <v>0</v>
      </c>
      <c r="D24" s="102">
        <v>0</v>
      </c>
      <c r="E24" s="102">
        <f t="shared" si="1"/>
        <v>0</v>
      </c>
      <c r="F24" s="102">
        <v>0</v>
      </c>
      <c r="G24" s="102">
        <v>0</v>
      </c>
      <c r="H24" s="102">
        <f t="shared" si="2"/>
        <v>0</v>
      </c>
      <c r="I24" s="102">
        <v>0</v>
      </c>
      <c r="J24" s="102">
        <v>0</v>
      </c>
    </row>
    <row r="25" spans="1:10" s="103" customFormat="1" ht="12">
      <c r="A25" s="101">
        <v>2030</v>
      </c>
      <c r="B25" s="102">
        <f t="shared" si="0"/>
        <v>0</v>
      </c>
      <c r="C25" s="102">
        <v>0</v>
      </c>
      <c r="D25" s="102">
        <v>0</v>
      </c>
      <c r="E25" s="102">
        <f t="shared" si="1"/>
        <v>0</v>
      </c>
      <c r="F25" s="102">
        <v>0</v>
      </c>
      <c r="G25" s="102">
        <v>0</v>
      </c>
      <c r="H25" s="102">
        <f t="shared" si="2"/>
        <v>0</v>
      </c>
      <c r="I25" s="102">
        <v>0</v>
      </c>
      <c r="J25" s="102">
        <v>0</v>
      </c>
    </row>
    <row r="26" spans="1:10" s="103" customFormat="1" ht="12">
      <c r="A26" s="101">
        <v>2031</v>
      </c>
      <c r="B26" s="102">
        <f t="shared" si="0"/>
        <v>0</v>
      </c>
      <c r="C26" s="102">
        <v>0</v>
      </c>
      <c r="D26" s="102">
        <v>0</v>
      </c>
      <c r="E26" s="102">
        <f t="shared" si="1"/>
        <v>0</v>
      </c>
      <c r="F26" s="102">
        <v>0</v>
      </c>
      <c r="G26" s="102">
        <v>0</v>
      </c>
      <c r="H26" s="102">
        <f t="shared" si="2"/>
        <v>0</v>
      </c>
      <c r="I26" s="102">
        <v>0</v>
      </c>
      <c r="J26" s="102">
        <v>0</v>
      </c>
    </row>
    <row r="27" spans="1:10" s="103" customFormat="1" ht="12">
      <c r="A27" s="101">
        <v>2032</v>
      </c>
      <c r="B27" s="102">
        <f t="shared" si="0"/>
        <v>0</v>
      </c>
      <c r="C27" s="102">
        <v>0</v>
      </c>
      <c r="D27" s="102">
        <v>0</v>
      </c>
      <c r="E27" s="102">
        <f t="shared" si="1"/>
        <v>0</v>
      </c>
      <c r="F27" s="102">
        <v>0</v>
      </c>
      <c r="G27" s="102">
        <v>0</v>
      </c>
      <c r="H27" s="102">
        <f t="shared" si="2"/>
        <v>0</v>
      </c>
      <c r="I27" s="102">
        <v>0</v>
      </c>
      <c r="J27" s="102">
        <v>0</v>
      </c>
    </row>
    <row r="28" spans="1:10" s="103" customFormat="1" ht="12">
      <c r="A28" s="101">
        <v>2033</v>
      </c>
      <c r="B28" s="102">
        <f t="shared" si="0"/>
        <v>0</v>
      </c>
      <c r="C28" s="102">
        <v>0</v>
      </c>
      <c r="D28" s="102">
        <v>0</v>
      </c>
      <c r="E28" s="102">
        <f t="shared" si="1"/>
        <v>0</v>
      </c>
      <c r="F28" s="102">
        <v>0</v>
      </c>
      <c r="G28" s="102">
        <v>0</v>
      </c>
      <c r="H28" s="102">
        <f t="shared" si="2"/>
        <v>0</v>
      </c>
      <c r="I28" s="102">
        <v>0</v>
      </c>
      <c r="J28" s="102">
        <v>0</v>
      </c>
    </row>
    <row r="29" spans="1:10" s="103" customFormat="1" ht="12">
      <c r="A29" s="101">
        <v>2034</v>
      </c>
      <c r="B29" s="102">
        <f>SUM(C29:D29)</f>
        <v>0</v>
      </c>
      <c r="C29" s="102">
        <v>0</v>
      </c>
      <c r="D29" s="102">
        <v>0</v>
      </c>
      <c r="E29" s="102">
        <f>SUM(F29:G29)</f>
        <v>0</v>
      </c>
      <c r="F29" s="102">
        <v>0</v>
      </c>
      <c r="G29" s="102">
        <v>0</v>
      </c>
      <c r="H29" s="102">
        <f>SUM(I29:J29)</f>
        <v>0</v>
      </c>
      <c r="I29" s="102">
        <v>0</v>
      </c>
      <c r="J29" s="102">
        <v>0</v>
      </c>
    </row>
    <row r="30" spans="1:10" s="103" customFormat="1" ht="12">
      <c r="A30" s="101">
        <v>2035</v>
      </c>
      <c r="B30" s="102">
        <f>SUM(C30:D30)</f>
        <v>0</v>
      </c>
      <c r="C30" s="102">
        <v>0</v>
      </c>
      <c r="D30" s="102">
        <v>0</v>
      </c>
      <c r="E30" s="102">
        <f>SUM(F30:G30)</f>
        <v>0</v>
      </c>
      <c r="F30" s="102">
        <v>0</v>
      </c>
      <c r="G30" s="102">
        <v>0</v>
      </c>
      <c r="H30" s="102">
        <f>SUM(I30:J30)</f>
        <v>0</v>
      </c>
      <c r="I30" s="102">
        <v>0</v>
      </c>
      <c r="J30" s="102">
        <v>0</v>
      </c>
    </row>
    <row r="31" spans="1:10" s="103" customFormat="1" ht="12">
      <c r="A31" s="101">
        <v>2036</v>
      </c>
      <c r="B31" s="102">
        <f t="shared" ref="B31:B37" si="3">SUM(C31:D31)</f>
        <v>0</v>
      </c>
      <c r="C31" s="102">
        <v>0</v>
      </c>
      <c r="D31" s="102">
        <v>0</v>
      </c>
      <c r="E31" s="102">
        <f t="shared" ref="E31:E37" si="4">SUM(F31:G31)</f>
        <v>0</v>
      </c>
      <c r="F31" s="102">
        <v>0</v>
      </c>
      <c r="G31" s="102">
        <v>0</v>
      </c>
      <c r="H31" s="102">
        <f t="shared" ref="H31:H37" si="5">SUM(I31:J31)</f>
        <v>0</v>
      </c>
      <c r="I31" s="102">
        <v>0</v>
      </c>
      <c r="J31" s="102">
        <v>0</v>
      </c>
    </row>
    <row r="32" spans="1:10" s="103" customFormat="1" ht="12">
      <c r="A32" s="101">
        <v>2037</v>
      </c>
      <c r="B32" s="102">
        <f t="shared" si="3"/>
        <v>0</v>
      </c>
      <c r="C32" s="102">
        <v>0</v>
      </c>
      <c r="D32" s="102">
        <v>0</v>
      </c>
      <c r="E32" s="102">
        <f t="shared" si="4"/>
        <v>0</v>
      </c>
      <c r="F32" s="102">
        <v>0</v>
      </c>
      <c r="G32" s="102">
        <v>0</v>
      </c>
      <c r="H32" s="102">
        <f t="shared" si="5"/>
        <v>0</v>
      </c>
      <c r="I32" s="102">
        <v>0</v>
      </c>
      <c r="J32" s="102">
        <v>0</v>
      </c>
    </row>
    <row r="33" spans="1:10" s="103" customFormat="1" ht="12">
      <c r="A33" s="101">
        <v>2038</v>
      </c>
      <c r="B33" s="102">
        <f t="shared" si="3"/>
        <v>0</v>
      </c>
      <c r="C33" s="102">
        <v>0</v>
      </c>
      <c r="D33" s="102">
        <v>0</v>
      </c>
      <c r="E33" s="102">
        <f t="shared" si="4"/>
        <v>0</v>
      </c>
      <c r="F33" s="102">
        <v>0</v>
      </c>
      <c r="G33" s="102">
        <v>0</v>
      </c>
      <c r="H33" s="102">
        <f t="shared" si="5"/>
        <v>0</v>
      </c>
      <c r="I33" s="102">
        <v>0</v>
      </c>
      <c r="J33" s="102">
        <v>0</v>
      </c>
    </row>
    <row r="34" spans="1:10" s="103" customFormat="1" ht="12">
      <c r="A34" s="101">
        <v>2039</v>
      </c>
      <c r="B34" s="102">
        <f t="shared" si="3"/>
        <v>0</v>
      </c>
      <c r="C34" s="102">
        <v>0</v>
      </c>
      <c r="D34" s="102">
        <v>0</v>
      </c>
      <c r="E34" s="102">
        <f t="shared" si="4"/>
        <v>0</v>
      </c>
      <c r="F34" s="102">
        <v>0</v>
      </c>
      <c r="G34" s="102">
        <v>0</v>
      </c>
      <c r="H34" s="102">
        <f t="shared" si="5"/>
        <v>0</v>
      </c>
      <c r="I34" s="102">
        <v>0</v>
      </c>
      <c r="J34" s="102">
        <v>0</v>
      </c>
    </row>
    <row r="35" spans="1:10" s="103" customFormat="1" ht="12">
      <c r="A35" s="101">
        <v>2040</v>
      </c>
      <c r="B35" s="102">
        <f t="shared" si="3"/>
        <v>0</v>
      </c>
      <c r="C35" s="102">
        <v>0</v>
      </c>
      <c r="D35" s="102">
        <v>0</v>
      </c>
      <c r="E35" s="102">
        <f t="shared" si="4"/>
        <v>0</v>
      </c>
      <c r="F35" s="102">
        <v>0</v>
      </c>
      <c r="G35" s="102">
        <v>0</v>
      </c>
      <c r="H35" s="102">
        <f t="shared" si="5"/>
        <v>0</v>
      </c>
      <c r="I35" s="102">
        <v>0</v>
      </c>
      <c r="J35" s="102">
        <v>0</v>
      </c>
    </row>
    <row r="36" spans="1:10" s="103" customFormat="1" ht="12">
      <c r="A36" s="101">
        <v>2041</v>
      </c>
      <c r="B36" s="102">
        <f t="shared" si="3"/>
        <v>0</v>
      </c>
      <c r="C36" s="102">
        <v>0</v>
      </c>
      <c r="D36" s="102">
        <v>0</v>
      </c>
      <c r="E36" s="102">
        <f t="shared" si="4"/>
        <v>0</v>
      </c>
      <c r="F36" s="102">
        <v>0</v>
      </c>
      <c r="G36" s="102">
        <v>0</v>
      </c>
      <c r="H36" s="102">
        <f t="shared" si="5"/>
        <v>0</v>
      </c>
      <c r="I36" s="102">
        <v>0</v>
      </c>
      <c r="J36" s="102">
        <v>0</v>
      </c>
    </row>
    <row r="37" spans="1:10" s="103" customFormat="1" ht="12">
      <c r="A37" s="101">
        <v>2042</v>
      </c>
      <c r="B37" s="102">
        <f t="shared" si="3"/>
        <v>0</v>
      </c>
      <c r="C37" s="102">
        <v>0</v>
      </c>
      <c r="D37" s="102">
        <v>0</v>
      </c>
      <c r="E37" s="102">
        <f t="shared" si="4"/>
        <v>0</v>
      </c>
      <c r="F37" s="102">
        <v>0</v>
      </c>
      <c r="G37" s="102">
        <v>0</v>
      </c>
      <c r="H37" s="102">
        <f t="shared" si="5"/>
        <v>0</v>
      </c>
      <c r="I37" s="102">
        <v>0</v>
      </c>
      <c r="J37" s="102">
        <v>0</v>
      </c>
    </row>
    <row r="38" spans="1:10" s="103" customFormat="1" ht="12">
      <c r="A38" s="101">
        <v>2043</v>
      </c>
      <c r="B38" s="102">
        <f>SUM(C38:D38)</f>
        <v>0</v>
      </c>
      <c r="C38" s="102">
        <v>0</v>
      </c>
      <c r="D38" s="102">
        <v>0</v>
      </c>
      <c r="E38" s="102">
        <f>SUM(F38:G38)</f>
        <v>0</v>
      </c>
      <c r="F38" s="102">
        <v>0</v>
      </c>
      <c r="G38" s="102">
        <v>0</v>
      </c>
      <c r="H38" s="102">
        <f>SUM(I38:J38)</f>
        <v>0</v>
      </c>
      <c r="I38" s="102">
        <v>0</v>
      </c>
      <c r="J38" s="102">
        <v>0</v>
      </c>
    </row>
    <row r="39" spans="1:10" s="103" customFormat="1" ht="12">
      <c r="A39" s="101">
        <v>2044</v>
      </c>
      <c r="B39" s="102">
        <f>SUM(C39:D39)</f>
        <v>0</v>
      </c>
      <c r="C39" s="102">
        <v>0</v>
      </c>
      <c r="D39" s="102">
        <v>0</v>
      </c>
      <c r="E39" s="102">
        <f>SUM(F39:G39)</f>
        <v>0</v>
      </c>
      <c r="F39" s="102">
        <v>0</v>
      </c>
      <c r="G39" s="102">
        <v>0</v>
      </c>
      <c r="H39" s="102">
        <f>SUM(I39:J39)</f>
        <v>0</v>
      </c>
      <c r="I39" s="102">
        <v>0</v>
      </c>
      <c r="J39" s="102">
        <v>0</v>
      </c>
    </row>
    <row r="40" spans="1:10" s="103" customFormat="1" ht="12">
      <c r="A40" s="101">
        <v>2045</v>
      </c>
      <c r="B40" s="102">
        <f>SUM(C40:D40)</f>
        <v>0</v>
      </c>
      <c r="C40" s="102">
        <v>0</v>
      </c>
      <c r="D40" s="102">
        <v>0</v>
      </c>
      <c r="E40" s="102">
        <f>SUM(F40:G40)</f>
        <v>0</v>
      </c>
      <c r="F40" s="102">
        <v>0</v>
      </c>
      <c r="G40" s="102">
        <v>0</v>
      </c>
      <c r="H40" s="102">
        <f>SUM(I40:J40)</f>
        <v>0</v>
      </c>
      <c r="I40" s="102">
        <v>0</v>
      </c>
      <c r="J40" s="102">
        <v>0</v>
      </c>
    </row>
    <row r="41" spans="1:10">
      <c r="I41" s="79" t="s">
        <v>150</v>
      </c>
    </row>
    <row r="42" spans="1:10">
      <c r="I42" s="79"/>
    </row>
    <row r="43" spans="1:10">
      <c r="I43" s="79" t="s">
        <v>230</v>
      </c>
    </row>
  </sheetData>
  <mergeCells count="6">
    <mergeCell ref="A1:J1"/>
    <mergeCell ref="A2:J2"/>
    <mergeCell ref="A3:A4"/>
    <mergeCell ref="B3:D3"/>
    <mergeCell ref="E3:G3"/>
    <mergeCell ref="H3:J3"/>
  </mergeCells>
  <pageMargins left="0.56999999999999995" right="0.61" top="0.38" bottom="0.28000000000000003" header="0.31496062992125984" footer="0.2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definicja</vt:lpstr>
      <vt:lpstr>Zał.1 WPF</vt:lpstr>
      <vt:lpstr>Zał.2 Przeds.</vt:lpstr>
      <vt:lpstr>Zał.3Przeds.zb.</vt:lpstr>
      <vt:lpstr>Zał.4Zb.przeds</vt:lpstr>
      <vt:lpstr>Zał.4Zb.progr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Wioletta</cp:lastModifiedBy>
  <cp:lastPrinted>2012-05-14T09:22:05Z</cp:lastPrinted>
  <dcterms:created xsi:type="dcterms:W3CDTF">2010-09-17T02:30:46Z</dcterms:created>
  <dcterms:modified xsi:type="dcterms:W3CDTF">2012-05-14T09:22:15Z</dcterms:modified>
</cp:coreProperties>
</file>