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15480" windowHeight="8670" tabRatio="820" firstSheet="1" activeTab="1"/>
  </bookViews>
  <sheets>
    <sheet name="definicja" sheetId="8" state="hidden" r:id="rId1"/>
    <sheet name="Zał.1 WPF" sheetId="9" r:id="rId2"/>
    <sheet name="Zał.2 Przeds." sheetId="10" r:id="rId3"/>
    <sheet name="Zał.3Przeds.zb." sheetId="11" r:id="rId4"/>
    <sheet name="Zał.4Zb.przeds" sheetId="12" r:id="rId5"/>
    <sheet name="Zał.4Zb.progr" sheetId="13" r:id="rId6"/>
  </sheets>
  <externalReferences>
    <externalReference r:id="rId7"/>
  </externalReferences>
  <calcPr calcId="124519"/>
  <fileRecoveryPr autoRecover="0"/>
</workbook>
</file>

<file path=xl/calcChain.xml><?xml version="1.0" encoding="utf-8"?>
<calcChain xmlns="http://schemas.openxmlformats.org/spreadsheetml/2006/main">
  <c r="AW68" i="9"/>
  <c r="AV68"/>
  <c r="AS68"/>
  <c r="AR68"/>
  <c r="AQ68"/>
  <c r="AP68"/>
  <c r="AO68"/>
  <c r="AN68"/>
  <c r="AM68"/>
  <c r="AJ68"/>
  <c r="AI68"/>
  <c r="AH68"/>
  <c r="AG68"/>
  <c r="AF68"/>
  <c r="AE68"/>
  <c r="AD68"/>
  <c r="AA68"/>
  <c r="Z68"/>
  <c r="Y68"/>
  <c r="X68"/>
  <c r="W68"/>
  <c r="V68"/>
  <c r="U68"/>
  <c r="R68"/>
  <c r="Q68"/>
  <c r="P68"/>
  <c r="H68"/>
  <c r="G68"/>
  <c r="C59"/>
  <c r="E59"/>
  <c r="AW84" l="1"/>
  <c r="AV84"/>
  <c r="AS84"/>
  <c r="AR84"/>
  <c r="AQ84"/>
  <c r="AP84"/>
  <c r="AO84"/>
  <c r="AN84"/>
  <c r="AM84"/>
  <c r="AJ84"/>
  <c r="AI84"/>
  <c r="AH84"/>
  <c r="AG84"/>
  <c r="AF84"/>
  <c r="AE84"/>
  <c r="AD84"/>
  <c r="AA84"/>
  <c r="Z84"/>
  <c r="Y84"/>
  <c r="X84"/>
  <c r="W84"/>
  <c r="V84"/>
  <c r="U84"/>
  <c r="R84"/>
  <c r="Q84"/>
  <c r="P84"/>
  <c r="O84"/>
  <c r="N84"/>
  <c r="M84"/>
  <c r="L84"/>
  <c r="I84"/>
  <c r="H84"/>
  <c r="G84"/>
  <c r="F84"/>
  <c r="E84"/>
  <c r="D84"/>
  <c r="C84"/>
  <c r="AW74"/>
  <c r="AV74"/>
  <c r="AS74"/>
  <c r="AR74"/>
  <c r="AQ74"/>
  <c r="AP74"/>
  <c r="AO74"/>
  <c r="AN74"/>
  <c r="AM74"/>
  <c r="AJ74"/>
  <c r="AI74"/>
  <c r="AH74"/>
  <c r="AG74"/>
  <c r="AF74"/>
  <c r="AE74"/>
  <c r="AD74"/>
  <c r="AA74"/>
  <c r="G74"/>
  <c r="F74"/>
  <c r="E74"/>
  <c r="D74"/>
  <c r="AW73"/>
  <c r="AV73"/>
  <c r="AS73"/>
  <c r="AR73"/>
  <c r="AQ73"/>
  <c r="AP73"/>
  <c r="AO73"/>
  <c r="AN73"/>
  <c r="AM73"/>
  <c r="AJ73"/>
  <c r="AI73"/>
  <c r="AH73"/>
  <c r="AG73"/>
  <c r="AF73"/>
  <c r="AE73"/>
  <c r="AD73"/>
  <c r="AA73"/>
  <c r="Z73"/>
  <c r="Y73"/>
  <c r="X73"/>
  <c r="G73"/>
  <c r="F73"/>
  <c r="E73"/>
  <c r="D73"/>
  <c r="AW72"/>
  <c r="AV72"/>
  <c r="AS72"/>
  <c r="AR72"/>
  <c r="AQ72"/>
  <c r="AP72"/>
  <c r="AO72"/>
  <c r="AN72"/>
  <c r="AM72"/>
  <c r="AJ72"/>
  <c r="AI72"/>
  <c r="AH72"/>
  <c r="AG72"/>
  <c r="AF72"/>
  <c r="AE72"/>
  <c r="AD72"/>
  <c r="AA72"/>
  <c r="Z72"/>
  <c r="Y72"/>
  <c r="X72"/>
  <c r="W72"/>
  <c r="V72"/>
  <c r="U72"/>
  <c r="G72"/>
  <c r="F72"/>
  <c r="E72"/>
  <c r="D72"/>
  <c r="C72"/>
  <c r="AW71"/>
  <c r="AV71"/>
  <c r="AS71"/>
  <c r="AR71"/>
  <c r="AQ71"/>
  <c r="AP71"/>
  <c r="AO71"/>
  <c r="AN71"/>
  <c r="AM71"/>
  <c r="AJ71"/>
  <c r="AI71"/>
  <c r="AH71"/>
  <c r="AG71"/>
  <c r="AF71"/>
  <c r="AE71"/>
  <c r="AD71"/>
  <c r="AA71"/>
  <c r="G71"/>
  <c r="F71"/>
  <c r="E71"/>
  <c r="D71"/>
  <c r="AW70"/>
  <c r="AV70"/>
  <c r="AS70"/>
  <c r="AR70"/>
  <c r="AQ70"/>
  <c r="AP70"/>
  <c r="AO70"/>
  <c r="AN70"/>
  <c r="AM70"/>
  <c r="AJ70"/>
  <c r="AI70"/>
  <c r="AH70"/>
  <c r="AG70"/>
  <c r="AF70"/>
  <c r="AE70"/>
  <c r="AD70"/>
  <c r="AA70"/>
  <c r="Z70"/>
  <c r="Y70"/>
  <c r="X70"/>
  <c r="G70"/>
  <c r="F70"/>
  <c r="E70"/>
  <c r="D70"/>
  <c r="AW69"/>
  <c r="AV69"/>
  <c r="AS69"/>
  <c r="AR69"/>
  <c r="AQ69"/>
  <c r="AP69"/>
  <c r="AO69"/>
  <c r="AN69"/>
  <c r="AM69"/>
  <c r="AJ69"/>
  <c r="AI69"/>
  <c r="AH69"/>
  <c r="AG69"/>
  <c r="AF69"/>
  <c r="AE69"/>
  <c r="AD69"/>
  <c r="AA69"/>
  <c r="Z69"/>
  <c r="Y69"/>
  <c r="X69"/>
  <c r="W69"/>
  <c r="V69"/>
  <c r="U69"/>
  <c r="G69"/>
  <c r="F69"/>
  <c r="E69"/>
  <c r="D69"/>
  <c r="C69"/>
  <c r="AW67"/>
  <c r="AV67"/>
  <c r="AO67"/>
  <c r="AN67"/>
  <c r="AM67"/>
  <c r="AF67"/>
  <c r="AE67"/>
  <c r="AD67"/>
  <c r="AW66"/>
  <c r="AV66"/>
  <c r="AS66"/>
  <c r="AR66"/>
  <c r="AQ66"/>
  <c r="AP66"/>
  <c r="AO66"/>
  <c r="AN66"/>
  <c r="AM66"/>
  <c r="AJ66"/>
  <c r="AI66"/>
  <c r="AH66"/>
  <c r="AG66"/>
  <c r="AF66"/>
  <c r="AE66"/>
  <c r="AD66"/>
  <c r="AA66"/>
  <c r="Z66"/>
  <c r="Y66"/>
  <c r="X66"/>
  <c r="W66"/>
  <c r="V66"/>
  <c r="U66"/>
  <c r="G66"/>
  <c r="F66"/>
  <c r="E66"/>
  <c r="D66"/>
  <c r="AW65"/>
  <c r="AV65"/>
  <c r="AS65"/>
  <c r="AR65"/>
  <c r="AQ65"/>
  <c r="AP65"/>
  <c r="AO65"/>
  <c r="AN65"/>
  <c r="AM65"/>
  <c r="AJ65"/>
  <c r="AI65"/>
  <c r="AH65"/>
  <c r="AG65"/>
  <c r="AF65"/>
  <c r="AE65"/>
  <c r="AD65"/>
  <c r="AA65"/>
  <c r="Z65"/>
  <c r="Y65"/>
  <c r="X65"/>
  <c r="W65"/>
  <c r="V65"/>
  <c r="U65"/>
  <c r="G65"/>
  <c r="F65"/>
  <c r="E65"/>
  <c r="D65"/>
  <c r="C65"/>
  <c r="AW28" l="1"/>
  <c r="AV28"/>
  <c r="AS28"/>
  <c r="AR28"/>
  <c r="AQ28"/>
  <c r="AP28"/>
  <c r="AO28"/>
  <c r="AN28"/>
  <c r="AM28"/>
  <c r="AJ28"/>
  <c r="AI28"/>
  <c r="AH28"/>
  <c r="AG28"/>
  <c r="AF28"/>
  <c r="AE28"/>
  <c r="AD28"/>
  <c r="AA28"/>
  <c r="Z28"/>
  <c r="Y28"/>
  <c r="X28"/>
  <c r="W28"/>
  <c r="V28"/>
  <c r="U28"/>
  <c r="G28"/>
  <c r="F28"/>
  <c r="E28"/>
  <c r="D28"/>
  <c r="C28"/>
  <c r="AS51"/>
  <c r="AR51"/>
  <c r="AQ51"/>
  <c r="AP51"/>
  <c r="AO51"/>
  <c r="AN51"/>
  <c r="AM51"/>
  <c r="AJ51"/>
  <c r="AI51"/>
  <c r="AH51"/>
  <c r="AG51"/>
  <c r="AF51"/>
  <c r="AE51"/>
  <c r="AD51"/>
  <c r="AA51"/>
  <c r="Z51"/>
  <c r="Y51"/>
  <c r="X51"/>
  <c r="W51"/>
  <c r="V51"/>
  <c r="U51"/>
  <c r="R51"/>
  <c r="Q51"/>
  <c r="P51"/>
  <c r="O51"/>
  <c r="N51"/>
  <c r="M51"/>
  <c r="F39" i="11" l="1"/>
  <c r="F38"/>
  <c r="G35"/>
  <c r="G34" s="1"/>
  <c r="F35"/>
  <c r="F34" s="1"/>
  <c r="G33"/>
  <c r="G32"/>
  <c r="G31"/>
  <c r="G30"/>
  <c r="G29"/>
  <c r="G24"/>
  <c r="G23"/>
  <c r="G22" s="1"/>
  <c r="F33"/>
  <c r="E33"/>
  <c r="E32"/>
  <c r="E31"/>
  <c r="E30"/>
  <c r="E29"/>
  <c r="E24"/>
  <c r="E23"/>
  <c r="F32"/>
  <c r="F31"/>
  <c r="F30"/>
  <c r="F29"/>
  <c r="F24"/>
  <c r="F23"/>
  <c r="F20"/>
  <c r="E20"/>
  <c r="E35"/>
  <c r="E34" s="1"/>
  <c r="E22" l="1"/>
  <c r="F22"/>
  <c r="BC20" i="10"/>
  <c r="BB20"/>
  <c r="BA20"/>
  <c r="AZ20"/>
  <c r="AY20"/>
  <c r="AX20"/>
  <c r="AW20"/>
  <c r="AR20"/>
  <c r="AQ20"/>
  <c r="AP20"/>
  <c r="AO20"/>
  <c r="AN20"/>
  <c r="AM20"/>
  <c r="AL20"/>
  <c r="AG20"/>
  <c r="AF20"/>
  <c r="AE20"/>
  <c r="AD20"/>
  <c r="AC20"/>
  <c r="AB20"/>
  <c r="AA20"/>
  <c r="V20"/>
  <c r="U20"/>
  <c r="T20"/>
  <c r="S20"/>
  <c r="R20"/>
  <c r="Q20"/>
  <c r="P20"/>
  <c r="K20"/>
  <c r="J20"/>
  <c r="I20"/>
  <c r="H20"/>
  <c r="G20"/>
  <c r="F20"/>
  <c r="E20"/>
  <c r="BC13"/>
  <c r="BB13"/>
  <c r="BA13"/>
  <c r="AZ13"/>
  <c r="AY13"/>
  <c r="AX13"/>
  <c r="AW13"/>
  <c r="AR13"/>
  <c r="AQ13"/>
  <c r="AP13"/>
  <c r="AO13"/>
  <c r="AN13"/>
  <c r="AM13"/>
  <c r="AL13"/>
  <c r="AG13"/>
  <c r="AF13"/>
  <c r="AE13"/>
  <c r="AD13"/>
  <c r="AC13"/>
  <c r="AB13"/>
  <c r="AA13"/>
  <c r="V13"/>
  <c r="U13"/>
  <c r="T13"/>
  <c r="S13"/>
  <c r="R13"/>
  <c r="Q13"/>
  <c r="P13"/>
  <c r="K13"/>
  <c r="J13"/>
  <c r="I13"/>
  <c r="H13"/>
  <c r="G13"/>
  <c r="F13"/>
  <c r="E13"/>
  <c r="BC33"/>
  <c r="BB33"/>
  <c r="BA33"/>
  <c r="AZ33"/>
  <c r="AY33"/>
  <c r="AX33"/>
  <c r="AW33"/>
  <c r="AR33"/>
  <c r="AQ33"/>
  <c r="AP33"/>
  <c r="AO33"/>
  <c r="AN33"/>
  <c r="AM33"/>
  <c r="AL33"/>
  <c r="AG33"/>
  <c r="AF33"/>
  <c r="AE33"/>
  <c r="AD33"/>
  <c r="AC33"/>
  <c r="AB33"/>
  <c r="AA33"/>
  <c r="V33"/>
  <c r="U33"/>
  <c r="T33"/>
  <c r="S33"/>
  <c r="R33"/>
  <c r="Q33"/>
  <c r="P33"/>
  <c r="K33"/>
  <c r="J33"/>
  <c r="I33"/>
  <c r="H33"/>
  <c r="G33"/>
  <c r="F33"/>
  <c r="E33"/>
  <c r="F31" i="9" l="1"/>
  <c r="F30"/>
  <c r="D31"/>
  <c r="D16"/>
  <c r="C40" l="1"/>
  <c r="C16"/>
  <c r="E18" i="11" l="1"/>
  <c r="F18"/>
  <c r="G18"/>
  <c r="G37" l="1"/>
  <c r="E39"/>
  <c r="E38"/>
  <c r="BC36" i="10"/>
  <c r="BB36"/>
  <c r="BA36"/>
  <c r="AZ36"/>
  <c r="AY36"/>
  <c r="AX36"/>
  <c r="AW36"/>
  <c r="AR36"/>
  <c r="AQ36"/>
  <c r="AP36"/>
  <c r="AO36"/>
  <c r="AN36"/>
  <c r="AM36"/>
  <c r="AL36"/>
  <c r="AG36"/>
  <c r="AF36"/>
  <c r="AE36"/>
  <c r="AD36"/>
  <c r="AC36"/>
  <c r="AB36"/>
  <c r="AA36"/>
  <c r="V36"/>
  <c r="U36"/>
  <c r="T36"/>
  <c r="S36"/>
  <c r="R36"/>
  <c r="Q36"/>
  <c r="P36"/>
  <c r="K36"/>
  <c r="J36"/>
  <c r="I36"/>
  <c r="H36"/>
  <c r="G36"/>
  <c r="F36"/>
  <c r="E36"/>
  <c r="E37" i="11" l="1"/>
  <c r="F37"/>
  <c r="G17"/>
  <c r="G16"/>
  <c r="F16"/>
  <c r="E17"/>
  <c r="E16"/>
  <c r="H39" i="13"/>
  <c r="E39"/>
  <c r="B39"/>
  <c r="H38"/>
  <c r="E38"/>
  <c r="B38"/>
  <c r="H37"/>
  <c r="E37"/>
  <c r="B37"/>
  <c r="H36"/>
  <c r="E36"/>
  <c r="B36"/>
  <c r="H35"/>
  <c r="E35"/>
  <c r="B35"/>
  <c r="H34"/>
  <c r="E34"/>
  <c r="B34"/>
  <c r="H33"/>
  <c r="E33"/>
  <c r="B33"/>
  <c r="H32"/>
  <c r="E32"/>
  <c r="B32"/>
  <c r="H31"/>
  <c r="E31"/>
  <c r="B31"/>
  <c r="H30"/>
  <c r="E30"/>
  <c r="B30"/>
  <c r="H29"/>
  <c r="E29"/>
  <c r="B29"/>
  <c r="H28"/>
  <c r="E28"/>
  <c r="B28"/>
  <c r="H27"/>
  <c r="E27"/>
  <c r="B27"/>
  <c r="H26"/>
  <c r="E26"/>
  <c r="B26"/>
  <c r="H25"/>
  <c r="E25"/>
  <c r="B25"/>
  <c r="H24"/>
  <c r="E24"/>
  <c r="B24"/>
  <c r="H23"/>
  <c r="E23"/>
  <c r="B23"/>
  <c r="H22"/>
  <c r="E22"/>
  <c r="B22"/>
  <c r="H21"/>
  <c r="E21"/>
  <c r="B21"/>
  <c r="H20"/>
  <c r="E20"/>
  <c r="B20"/>
  <c r="H19"/>
  <c r="E19"/>
  <c r="B19"/>
  <c r="H18"/>
  <c r="E18"/>
  <c r="B18"/>
  <c r="H17"/>
  <c r="E17"/>
  <c r="B17"/>
  <c r="H16"/>
  <c r="E16"/>
  <c r="B16"/>
  <c r="H15"/>
  <c r="E15"/>
  <c r="B15"/>
  <c r="H14"/>
  <c r="E14"/>
  <c r="B14"/>
  <c r="H13"/>
  <c r="E13"/>
  <c r="B13"/>
  <c r="H12"/>
  <c r="E12"/>
  <c r="B12"/>
  <c r="H11"/>
  <c r="E11"/>
  <c r="B11"/>
  <c r="H10"/>
  <c r="E10"/>
  <c r="B10"/>
  <c r="H9"/>
  <c r="E9"/>
  <c r="B9"/>
  <c r="H8"/>
  <c r="E8"/>
  <c r="H7"/>
  <c r="E7"/>
  <c r="H6"/>
  <c r="E6"/>
  <c r="H5"/>
  <c r="E5"/>
  <c r="H41" i="12"/>
  <c r="E41"/>
  <c r="D41"/>
  <c r="H40"/>
  <c r="E40"/>
  <c r="D40"/>
  <c r="H39"/>
  <c r="E39"/>
  <c r="D39"/>
  <c r="H38"/>
  <c r="E38"/>
  <c r="D38"/>
  <c r="H37"/>
  <c r="E37"/>
  <c r="D37"/>
  <c r="H36"/>
  <c r="E36"/>
  <c r="D36"/>
  <c r="H35"/>
  <c r="E35"/>
  <c r="D35"/>
  <c r="H34"/>
  <c r="E34"/>
  <c r="D34"/>
  <c r="H33"/>
  <c r="E33"/>
  <c r="D33"/>
  <c r="H32"/>
  <c r="E32"/>
  <c r="D32"/>
  <c r="H31"/>
  <c r="E31"/>
  <c r="D31"/>
  <c r="H30"/>
  <c r="E30"/>
  <c r="D30"/>
  <c r="H29"/>
  <c r="E29"/>
  <c r="D29"/>
  <c r="H28"/>
  <c r="E28"/>
  <c r="D28"/>
  <c r="H27"/>
  <c r="E27"/>
  <c r="D27"/>
  <c r="H26"/>
  <c r="E26"/>
  <c r="D26"/>
  <c r="H25"/>
  <c r="E25"/>
  <c r="D25"/>
  <c r="H24"/>
  <c r="E24"/>
  <c r="D24"/>
  <c r="E23"/>
  <c r="E22"/>
  <c r="E21"/>
  <c r="E20"/>
  <c r="E19"/>
  <c r="E18"/>
  <c r="E17"/>
  <c r="E16"/>
  <c r="E15"/>
  <c r="E14"/>
  <c r="E13"/>
  <c r="E12"/>
  <c r="I11"/>
  <c r="E11"/>
  <c r="K8"/>
  <c r="K7"/>
  <c r="F17" i="11"/>
  <c r="C8" i="13"/>
  <c r="B8" s="1"/>
  <c r="C7"/>
  <c r="E15" i="11" l="1"/>
  <c r="F15"/>
  <c r="G15"/>
  <c r="G36"/>
  <c r="E36"/>
  <c r="I8" i="12"/>
  <c r="F19" i="11"/>
  <c r="F13" s="1"/>
  <c r="E19"/>
  <c r="G19"/>
  <c r="D6" i="13" s="1"/>
  <c r="G12" i="11"/>
  <c r="BC35" i="10"/>
  <c r="BB35"/>
  <c r="K41" i="12" s="1"/>
  <c r="C41" s="1"/>
  <c r="B41" s="1"/>
  <c r="BA35" i="10"/>
  <c r="K40" i="12" s="1"/>
  <c r="C40" s="1"/>
  <c r="B40" s="1"/>
  <c r="AZ35" i="10"/>
  <c r="K39" i="12" s="1"/>
  <c r="C39" s="1"/>
  <c r="B39" s="1"/>
  <c r="AY35" i="10"/>
  <c r="K38" i="12" s="1"/>
  <c r="C38" s="1"/>
  <c r="B38" s="1"/>
  <c r="AX35" i="10"/>
  <c r="K37" i="12" s="1"/>
  <c r="C37" s="1"/>
  <c r="B37" s="1"/>
  <c r="AW35" i="10"/>
  <c r="K36" i="12" s="1"/>
  <c r="C36" s="1"/>
  <c r="B36" s="1"/>
  <c r="AR35" i="10"/>
  <c r="K35" i="12" s="1"/>
  <c r="C35" s="1"/>
  <c r="B35" s="1"/>
  <c r="AQ35" i="10"/>
  <c r="K34" i="12" s="1"/>
  <c r="C34" s="1"/>
  <c r="B34" s="1"/>
  <c r="AP35" i="10"/>
  <c r="K33" i="12" s="1"/>
  <c r="C33" s="1"/>
  <c r="B33" s="1"/>
  <c r="AO35" i="10"/>
  <c r="K32" i="12" s="1"/>
  <c r="C32" s="1"/>
  <c r="B32" s="1"/>
  <c r="AN35" i="10"/>
  <c r="K31" i="12" s="1"/>
  <c r="C31" s="1"/>
  <c r="B31" s="1"/>
  <c r="AM35" i="10"/>
  <c r="K30" i="12" s="1"/>
  <c r="C30" s="1"/>
  <c r="B30" s="1"/>
  <c r="AL35" i="10"/>
  <c r="K29" i="12" s="1"/>
  <c r="C29" s="1"/>
  <c r="B29" s="1"/>
  <c r="AG35" i="10"/>
  <c r="K28" i="12" s="1"/>
  <c r="C28" s="1"/>
  <c r="B28" s="1"/>
  <c r="AF35" i="10"/>
  <c r="K27" i="12" s="1"/>
  <c r="C27" s="1"/>
  <c r="B27" s="1"/>
  <c r="AE35" i="10"/>
  <c r="K26" i="12" s="1"/>
  <c r="C26" s="1"/>
  <c r="B26" s="1"/>
  <c r="AD35" i="10"/>
  <c r="K25" i="12" s="1"/>
  <c r="C25" s="1"/>
  <c r="B25" s="1"/>
  <c r="AC35" i="10"/>
  <c r="K24" i="12" s="1"/>
  <c r="C24" s="1"/>
  <c r="B24" s="1"/>
  <c r="AB35" i="10"/>
  <c r="K23" i="12" s="1"/>
  <c r="C23" s="1"/>
  <c r="AA35" i="10"/>
  <c r="K22" i="12" s="1"/>
  <c r="C22" s="1"/>
  <c r="V35" i="10"/>
  <c r="K21" i="12" s="1"/>
  <c r="C21" s="1"/>
  <c r="U35" i="10"/>
  <c r="K20" i="12" s="1"/>
  <c r="C20" s="1"/>
  <c r="T35" i="10"/>
  <c r="K19" i="12" s="1"/>
  <c r="C19" s="1"/>
  <c r="S35" i="10"/>
  <c r="K18" i="12" s="1"/>
  <c r="C18" s="1"/>
  <c r="R35" i="10"/>
  <c r="K17" i="12" s="1"/>
  <c r="C17" s="1"/>
  <c r="Q35" i="10"/>
  <c r="K16" i="12" s="1"/>
  <c r="C16" s="1"/>
  <c r="P35" i="10"/>
  <c r="K15" i="12" s="1"/>
  <c r="C15" s="1"/>
  <c r="K35" i="10"/>
  <c r="K14" i="12" s="1"/>
  <c r="C14" s="1"/>
  <c r="J35" i="10"/>
  <c r="K13" i="12" s="1"/>
  <c r="C13" s="1"/>
  <c r="I35" i="10"/>
  <c r="K12" i="12" s="1"/>
  <c r="C12" s="1"/>
  <c r="H35" i="10"/>
  <c r="K11" i="12" s="1"/>
  <c r="C11" s="1"/>
  <c r="G35" i="10"/>
  <c r="K10" i="12" s="1"/>
  <c r="F35" i="10"/>
  <c r="K9" i="12" s="1"/>
  <c r="E35" i="10"/>
  <c r="BB19"/>
  <c r="AZ19"/>
  <c r="AX19"/>
  <c r="AR19"/>
  <c r="AP19"/>
  <c r="AN19"/>
  <c r="AL19"/>
  <c r="AF19"/>
  <c r="AD19"/>
  <c r="J23" i="12"/>
  <c r="J22"/>
  <c r="J21"/>
  <c r="J20"/>
  <c r="J19"/>
  <c r="J18"/>
  <c r="J17"/>
  <c r="J16"/>
  <c r="J15"/>
  <c r="J14"/>
  <c r="J13"/>
  <c r="J12"/>
  <c r="J11"/>
  <c r="J10"/>
  <c r="D10" s="1"/>
  <c r="J9"/>
  <c r="E19" i="10"/>
  <c r="I10" i="12"/>
  <c r="H10" s="1"/>
  <c r="I9"/>
  <c r="BC19" i="10"/>
  <c r="BA19"/>
  <c r="AY19"/>
  <c r="AW19"/>
  <c r="AQ19"/>
  <c r="AO19"/>
  <c r="AM19"/>
  <c r="AG19"/>
  <c r="AE19"/>
  <c r="AC19"/>
  <c r="AA19"/>
  <c r="U19"/>
  <c r="S19"/>
  <c r="Q19"/>
  <c r="K19"/>
  <c r="I19"/>
  <c r="G19"/>
  <c r="BC17"/>
  <c r="BC11" s="1"/>
  <c r="BC8" s="1"/>
  <c r="BB17"/>
  <c r="BA17"/>
  <c r="BA12" s="1"/>
  <c r="AZ17"/>
  <c r="AY17"/>
  <c r="AY12" s="1"/>
  <c r="AX17"/>
  <c r="AW17"/>
  <c r="AW12" s="1"/>
  <c r="AR17"/>
  <c r="AQ17"/>
  <c r="AQ12" s="1"/>
  <c r="AP17"/>
  <c r="AO17"/>
  <c r="AO12" s="1"/>
  <c r="AN17"/>
  <c r="AM17"/>
  <c r="AM12" s="1"/>
  <c r="AL17"/>
  <c r="AG17"/>
  <c r="AG12" s="1"/>
  <c r="AF17"/>
  <c r="AE17"/>
  <c r="AE12" s="1"/>
  <c r="AD17"/>
  <c r="AC17"/>
  <c r="AC12" s="1"/>
  <c r="AB17"/>
  <c r="AA17"/>
  <c r="AA12" s="1"/>
  <c r="V17"/>
  <c r="U17"/>
  <c r="U12" s="1"/>
  <c r="T17"/>
  <c r="S17"/>
  <c r="S12" s="1"/>
  <c r="R17"/>
  <c r="Q17"/>
  <c r="Q12" s="1"/>
  <c r="P17"/>
  <c r="K17"/>
  <c r="K12" s="1"/>
  <c r="J17"/>
  <c r="I17"/>
  <c r="I12" s="1"/>
  <c r="H17"/>
  <c r="G17"/>
  <c r="G12" s="1"/>
  <c r="F17"/>
  <c r="E17"/>
  <c r="E12" s="1"/>
  <c r="BC12"/>
  <c r="BB12"/>
  <c r="AZ12"/>
  <c r="AX12"/>
  <c r="AR12"/>
  <c r="AP12"/>
  <c r="AN12"/>
  <c r="AL12"/>
  <c r="AF12"/>
  <c r="AD12"/>
  <c r="AB12"/>
  <c r="V12"/>
  <c r="T12"/>
  <c r="R12"/>
  <c r="P12"/>
  <c r="J12"/>
  <c r="H12"/>
  <c r="F12"/>
  <c r="BB11"/>
  <c r="BB8" s="1"/>
  <c r="AZ11"/>
  <c r="AZ8" s="1"/>
  <c r="AX11"/>
  <c r="AX8" s="1"/>
  <c r="AR11"/>
  <c r="AR8" s="1"/>
  <c r="AP11"/>
  <c r="AP8" s="1"/>
  <c r="AN11"/>
  <c r="AN8" s="1"/>
  <c r="AL11"/>
  <c r="AL8" s="1"/>
  <c r="AF11"/>
  <c r="AF8" s="1"/>
  <c r="AD11"/>
  <c r="AD8" s="1"/>
  <c r="AB11"/>
  <c r="AB8" s="1"/>
  <c r="V11"/>
  <c r="V8" s="1"/>
  <c r="T11"/>
  <c r="T8" s="1"/>
  <c r="R11"/>
  <c r="R8" s="1"/>
  <c r="P11"/>
  <c r="P8" s="1"/>
  <c r="J11"/>
  <c r="J8" s="1"/>
  <c r="H11"/>
  <c r="H8" s="1"/>
  <c r="F11"/>
  <c r="F8" s="1"/>
  <c r="E11"/>
  <c r="E8" s="1"/>
  <c r="BC10"/>
  <c r="BB10"/>
  <c r="BA10"/>
  <c r="AZ10"/>
  <c r="AZ9" s="1"/>
  <c r="AY10"/>
  <c r="AX10"/>
  <c r="AW10"/>
  <c r="AR10"/>
  <c r="AR9" s="1"/>
  <c r="AQ10"/>
  <c r="AP10"/>
  <c r="AO10"/>
  <c r="AN10"/>
  <c r="AN9" s="1"/>
  <c r="AM10"/>
  <c r="AL10"/>
  <c r="AG10"/>
  <c r="AF10"/>
  <c r="AF9" s="1"/>
  <c r="AE10"/>
  <c r="AD10"/>
  <c r="AC10"/>
  <c r="AB10"/>
  <c r="AB9" s="1"/>
  <c r="AA10"/>
  <c r="V10"/>
  <c r="U10"/>
  <c r="T10"/>
  <c r="T9" s="1"/>
  <c r="S10"/>
  <c r="R10"/>
  <c r="Q10"/>
  <c r="P10"/>
  <c r="P9" s="1"/>
  <c r="K10"/>
  <c r="J10"/>
  <c r="J9" s="1"/>
  <c r="I10"/>
  <c r="H10"/>
  <c r="H9" s="1"/>
  <c r="G10"/>
  <c r="F10" i="12" s="1"/>
  <c r="F10" i="10"/>
  <c r="F9" i="12" s="1"/>
  <c r="E10" i="10"/>
  <c r="BC9"/>
  <c r="BC7"/>
  <c r="BC6" s="1"/>
  <c r="BA7"/>
  <c r="AY7"/>
  <c r="AW7"/>
  <c r="AQ7"/>
  <c r="AO7"/>
  <c r="AM7"/>
  <c r="AG7"/>
  <c r="AE7"/>
  <c r="AC7"/>
  <c r="AA7"/>
  <c r="U7"/>
  <c r="S7"/>
  <c r="Q7"/>
  <c r="K7"/>
  <c r="I7"/>
  <c r="G7"/>
  <c r="H18" i="9" s="1"/>
  <c r="AW51"/>
  <c r="AV51"/>
  <c r="AW50"/>
  <c r="AV50"/>
  <c r="AS50"/>
  <c r="AW48"/>
  <c r="AV48"/>
  <c r="AS48"/>
  <c r="AW47"/>
  <c r="AV47"/>
  <c r="AS47"/>
  <c r="AW46"/>
  <c r="AV46"/>
  <c r="AS46"/>
  <c r="AW43"/>
  <c r="AV43"/>
  <c r="AS43"/>
  <c r="AW42"/>
  <c r="AV42"/>
  <c r="AS42"/>
  <c r="AW40"/>
  <c r="AV40"/>
  <c r="AS40"/>
  <c r="AW39"/>
  <c r="AV39"/>
  <c r="AS39"/>
  <c r="AW38"/>
  <c r="AW79" s="1"/>
  <c r="AV38"/>
  <c r="AV79" s="1"/>
  <c r="AS38"/>
  <c r="AS79" s="1"/>
  <c r="AW34"/>
  <c r="AV34"/>
  <c r="AS34"/>
  <c r="AW33"/>
  <c r="AV33"/>
  <c r="AS33"/>
  <c r="AW32"/>
  <c r="AV32"/>
  <c r="AS32"/>
  <c r="AW31"/>
  <c r="AV31"/>
  <c r="AS31"/>
  <c r="AW30"/>
  <c r="AV30"/>
  <c r="AV29" s="1"/>
  <c r="AS30"/>
  <c r="AW29"/>
  <c r="AS29"/>
  <c r="AW27"/>
  <c r="AV27"/>
  <c r="AS27"/>
  <c r="AW26"/>
  <c r="AV26"/>
  <c r="AS26"/>
  <c r="AW23"/>
  <c r="AV23"/>
  <c r="AS23"/>
  <c r="AW22"/>
  <c r="AV22"/>
  <c r="AS22"/>
  <c r="AW19"/>
  <c r="AV19"/>
  <c r="AS19"/>
  <c r="AW16"/>
  <c r="AV16"/>
  <c r="AS16"/>
  <c r="AW12"/>
  <c r="AW76" s="1"/>
  <c r="AW82" s="1"/>
  <c r="AV12"/>
  <c r="AV76" s="1"/>
  <c r="AV82" s="1"/>
  <c r="AS12"/>
  <c r="AS76" s="1"/>
  <c r="AS82" s="1"/>
  <c r="AW11"/>
  <c r="AV11"/>
  <c r="AS11"/>
  <c r="AW9"/>
  <c r="AV9"/>
  <c r="AS9"/>
  <c r="AW8"/>
  <c r="AW78" s="1"/>
  <c r="AW80" s="1"/>
  <c r="AV8"/>
  <c r="AV78" s="1"/>
  <c r="AV80" s="1"/>
  <c r="AS8"/>
  <c r="AS78" s="1"/>
  <c r="AS80" s="1"/>
  <c r="AW7"/>
  <c r="AV7"/>
  <c r="AS7"/>
  <c r="AW5"/>
  <c r="AW4" s="1"/>
  <c r="AW21" s="1"/>
  <c r="AW37" s="1"/>
  <c r="AW44" s="1"/>
  <c r="AV5"/>
  <c r="AS5"/>
  <c r="AV4"/>
  <c r="AV81" s="1"/>
  <c r="AV83" s="1"/>
  <c r="AV49" s="1"/>
  <c r="AS4"/>
  <c r="AS21" s="1"/>
  <c r="AS37" s="1"/>
  <c r="AS44" s="1"/>
  <c r="AR50"/>
  <c r="AQ50"/>
  <c r="AP50"/>
  <c r="AO50"/>
  <c r="AN50"/>
  <c r="AM50"/>
  <c r="AJ50"/>
  <c r="AR48"/>
  <c r="AQ48"/>
  <c r="AP48"/>
  <c r="AO48"/>
  <c r="AN48"/>
  <c r="AM48"/>
  <c r="AJ48"/>
  <c r="AR47"/>
  <c r="AQ47"/>
  <c r="AP47"/>
  <c r="AO47"/>
  <c r="AN47"/>
  <c r="AM47"/>
  <c r="AJ47"/>
  <c r="AR46"/>
  <c r="AQ46"/>
  <c r="AP46"/>
  <c r="AO46"/>
  <c r="AN46"/>
  <c r="AM46"/>
  <c r="AJ46"/>
  <c r="AR43"/>
  <c r="AQ43"/>
  <c r="AP43"/>
  <c r="AO43"/>
  <c r="AN43"/>
  <c r="AM43"/>
  <c r="AJ43"/>
  <c r="AR42"/>
  <c r="AQ42"/>
  <c r="AP42"/>
  <c r="AO42"/>
  <c r="AN42"/>
  <c r="AM42"/>
  <c r="AJ42"/>
  <c r="AR40"/>
  <c r="AQ40"/>
  <c r="AP40"/>
  <c r="AO40"/>
  <c r="AN40"/>
  <c r="AM40"/>
  <c r="AJ40"/>
  <c r="AR39"/>
  <c r="AQ39"/>
  <c r="AP39"/>
  <c r="AO39"/>
  <c r="AN39"/>
  <c r="AM39"/>
  <c r="AJ39"/>
  <c r="AR38"/>
  <c r="AR79" s="1"/>
  <c r="AQ38"/>
  <c r="AQ79" s="1"/>
  <c r="AP38"/>
  <c r="AP79" s="1"/>
  <c r="AO38"/>
  <c r="AO79" s="1"/>
  <c r="AN38"/>
  <c r="AN79" s="1"/>
  <c r="AM38"/>
  <c r="AM79" s="1"/>
  <c r="AJ38"/>
  <c r="AJ79" s="1"/>
  <c r="AR34"/>
  <c r="AQ34"/>
  <c r="AP34"/>
  <c r="AO34"/>
  <c r="AN34"/>
  <c r="AM34"/>
  <c r="AJ34"/>
  <c r="AR33"/>
  <c r="AQ33"/>
  <c r="AP33"/>
  <c r="AO33"/>
  <c r="AN33"/>
  <c r="AM33"/>
  <c r="AJ33"/>
  <c r="AR32"/>
  <c r="AQ32"/>
  <c r="AP32"/>
  <c r="AO32"/>
  <c r="AN32"/>
  <c r="AM32"/>
  <c r="AJ32"/>
  <c r="AR31"/>
  <c r="AQ31"/>
  <c r="AP31"/>
  <c r="AO31"/>
  <c r="AN31"/>
  <c r="AM31"/>
  <c r="AJ31"/>
  <c r="AR30"/>
  <c r="AQ30"/>
  <c r="AP30"/>
  <c r="AO30"/>
  <c r="AN30"/>
  <c r="AM30"/>
  <c r="AJ30"/>
  <c r="AR29"/>
  <c r="AP29"/>
  <c r="AN29"/>
  <c r="AJ29"/>
  <c r="AR27"/>
  <c r="AQ27"/>
  <c r="AP27"/>
  <c r="AO27"/>
  <c r="AN27"/>
  <c r="AM27"/>
  <c r="AJ27"/>
  <c r="AR26"/>
  <c r="AQ26"/>
  <c r="AP26"/>
  <c r="AO26"/>
  <c r="AN26"/>
  <c r="AM26"/>
  <c r="AJ26"/>
  <c r="AR23"/>
  <c r="AQ23"/>
  <c r="AP23"/>
  <c r="AO23"/>
  <c r="AN23"/>
  <c r="AM23"/>
  <c r="AJ23"/>
  <c r="AR22"/>
  <c r="AQ22"/>
  <c r="AP22"/>
  <c r="AO22"/>
  <c r="AN22"/>
  <c r="AM22"/>
  <c r="AJ22"/>
  <c r="AR19"/>
  <c r="AQ19"/>
  <c r="AP19"/>
  <c r="AO19"/>
  <c r="AN19"/>
  <c r="AM19"/>
  <c r="AJ19"/>
  <c r="AR16"/>
  <c r="AQ16"/>
  <c r="AP16"/>
  <c r="AO16"/>
  <c r="AN16"/>
  <c r="AM16"/>
  <c r="AJ16"/>
  <c r="AR12"/>
  <c r="AR76" s="1"/>
  <c r="AR82" s="1"/>
  <c r="AQ12"/>
  <c r="AQ76" s="1"/>
  <c r="AQ82" s="1"/>
  <c r="AP12"/>
  <c r="AP76" s="1"/>
  <c r="AP82" s="1"/>
  <c r="AO12"/>
  <c r="AO76" s="1"/>
  <c r="AO82" s="1"/>
  <c r="AN12"/>
  <c r="AN76" s="1"/>
  <c r="AN82" s="1"/>
  <c r="AM12"/>
  <c r="AM76" s="1"/>
  <c r="AM82" s="1"/>
  <c r="AJ12"/>
  <c r="AJ76" s="1"/>
  <c r="AJ82" s="1"/>
  <c r="AR11"/>
  <c r="AQ11"/>
  <c r="AP11"/>
  <c r="AO11"/>
  <c r="AN11"/>
  <c r="AM11"/>
  <c r="AJ11"/>
  <c r="AR9"/>
  <c r="AQ9"/>
  <c r="AP9"/>
  <c r="AO9"/>
  <c r="AN9"/>
  <c r="AM9"/>
  <c r="AJ9"/>
  <c r="AR8"/>
  <c r="AR78" s="1"/>
  <c r="AR80" s="1"/>
  <c r="AQ8"/>
  <c r="AQ78" s="1"/>
  <c r="AQ80" s="1"/>
  <c r="AP8"/>
  <c r="AP78" s="1"/>
  <c r="AP80" s="1"/>
  <c r="AO8"/>
  <c r="AO78" s="1"/>
  <c r="AO80" s="1"/>
  <c r="AN8"/>
  <c r="AN78" s="1"/>
  <c r="AN80" s="1"/>
  <c r="AM8"/>
  <c r="AM78" s="1"/>
  <c r="AM80" s="1"/>
  <c r="AJ8"/>
  <c r="AJ78" s="1"/>
  <c r="AJ80" s="1"/>
  <c r="AR7"/>
  <c r="AQ7"/>
  <c r="AP7"/>
  <c r="AO7"/>
  <c r="AN7"/>
  <c r="AM7"/>
  <c r="AJ7"/>
  <c r="AR5"/>
  <c r="AQ5"/>
  <c r="AP5"/>
  <c r="AO5"/>
  <c r="AO4" s="1"/>
  <c r="AO81" s="1"/>
  <c r="AO83" s="1"/>
  <c r="AO49" s="1"/>
  <c r="AN5"/>
  <c r="AM5"/>
  <c r="AM4" s="1"/>
  <c r="AM81" s="1"/>
  <c r="AM83" s="1"/>
  <c r="AM49" s="1"/>
  <c r="AJ5"/>
  <c r="AQ4"/>
  <c r="AQ81" s="1"/>
  <c r="AQ83" s="1"/>
  <c r="AQ49" s="1"/>
  <c r="AI50"/>
  <c r="AH50"/>
  <c r="AG50"/>
  <c r="AF50"/>
  <c r="AE50"/>
  <c r="AD50"/>
  <c r="AA50"/>
  <c r="AI48"/>
  <c r="AH48"/>
  <c r="AG48"/>
  <c r="AF48"/>
  <c r="AE48"/>
  <c r="AD48"/>
  <c r="AA48"/>
  <c r="AI47"/>
  <c r="AH47"/>
  <c r="AG47"/>
  <c r="AF47"/>
  <c r="AE47"/>
  <c r="AD47"/>
  <c r="AA47"/>
  <c r="AI46"/>
  <c r="AH46"/>
  <c r="AG46"/>
  <c r="AF46"/>
  <c r="AE46"/>
  <c r="AD46"/>
  <c r="AA46"/>
  <c r="AI43"/>
  <c r="AH43"/>
  <c r="AG43"/>
  <c r="AF43"/>
  <c r="AE43"/>
  <c r="AD43"/>
  <c r="AA43"/>
  <c r="AI42"/>
  <c r="AH42"/>
  <c r="AG42"/>
  <c r="AF42"/>
  <c r="AE42"/>
  <c r="AD42"/>
  <c r="AA42"/>
  <c r="AI40"/>
  <c r="AH40"/>
  <c r="AG40"/>
  <c r="AF40"/>
  <c r="AE40"/>
  <c r="AD40"/>
  <c r="AA40"/>
  <c r="AI39"/>
  <c r="AH39"/>
  <c r="AG39"/>
  <c r="AF39"/>
  <c r="AE39"/>
  <c r="AD39"/>
  <c r="AA39"/>
  <c r="AI38"/>
  <c r="AI79" s="1"/>
  <c r="AH38"/>
  <c r="AH79" s="1"/>
  <c r="AG38"/>
  <c r="AG79" s="1"/>
  <c r="AF38"/>
  <c r="AF79" s="1"/>
  <c r="AE38"/>
  <c r="AE79" s="1"/>
  <c r="AD38"/>
  <c r="AD79" s="1"/>
  <c r="AA38"/>
  <c r="AA79" s="1"/>
  <c r="AI34"/>
  <c r="AH34"/>
  <c r="AG34"/>
  <c r="AF34"/>
  <c r="AE34"/>
  <c r="AD34"/>
  <c r="AA34"/>
  <c r="AI33"/>
  <c r="AH33"/>
  <c r="AG33"/>
  <c r="AF33"/>
  <c r="AE33"/>
  <c r="AD33"/>
  <c r="AA33"/>
  <c r="AI32"/>
  <c r="AH32"/>
  <c r="AG32"/>
  <c r="AF32"/>
  <c r="AE32"/>
  <c r="AD32"/>
  <c r="AA32"/>
  <c r="AI31"/>
  <c r="AH31"/>
  <c r="AG31"/>
  <c r="AF31"/>
  <c r="AE31"/>
  <c r="AD31"/>
  <c r="AA31"/>
  <c r="AI30"/>
  <c r="AH30"/>
  <c r="AG30"/>
  <c r="AF30"/>
  <c r="AF29" s="1"/>
  <c r="AE30"/>
  <c r="AD30"/>
  <c r="AD29" s="1"/>
  <c r="AA30"/>
  <c r="AH29"/>
  <c r="AI27"/>
  <c r="AH27"/>
  <c r="AG27"/>
  <c r="AF27"/>
  <c r="AE27"/>
  <c r="AD27"/>
  <c r="AA27"/>
  <c r="AI26"/>
  <c r="AH26"/>
  <c r="AG26"/>
  <c r="AF26"/>
  <c r="AE26"/>
  <c r="AD26"/>
  <c r="AA26"/>
  <c r="AI23"/>
  <c r="AH23"/>
  <c r="AG23"/>
  <c r="AF23"/>
  <c r="AE23"/>
  <c r="AD23"/>
  <c r="AA23"/>
  <c r="AI22"/>
  <c r="AH22"/>
  <c r="AG22"/>
  <c r="AF22"/>
  <c r="AE22"/>
  <c r="AD22"/>
  <c r="AA22"/>
  <c r="AI19"/>
  <c r="AH19"/>
  <c r="AG19"/>
  <c r="AF19"/>
  <c r="AE19"/>
  <c r="AD19"/>
  <c r="AA19"/>
  <c r="AI16"/>
  <c r="AH16"/>
  <c r="AG16"/>
  <c r="AF16"/>
  <c r="AE16"/>
  <c r="AD16"/>
  <c r="AA16"/>
  <c r="AI12"/>
  <c r="AI76" s="1"/>
  <c r="AH12"/>
  <c r="AG12"/>
  <c r="AG76" s="1"/>
  <c r="AF12"/>
  <c r="AF76" s="1"/>
  <c r="AF82" s="1"/>
  <c r="AE12"/>
  <c r="AE76" s="1"/>
  <c r="AD12"/>
  <c r="AD76" s="1"/>
  <c r="AD82" s="1"/>
  <c r="AA12"/>
  <c r="AA76" s="1"/>
  <c r="AI11"/>
  <c r="AH11"/>
  <c r="AG11"/>
  <c r="AF11"/>
  <c r="AE11"/>
  <c r="AD11"/>
  <c r="AA11"/>
  <c r="AI9"/>
  <c r="AH9"/>
  <c r="AG9"/>
  <c r="AF9"/>
  <c r="AE9"/>
  <c r="AD9"/>
  <c r="AA9"/>
  <c r="AI8"/>
  <c r="AI78" s="1"/>
  <c r="AI80" s="1"/>
  <c r="AH8"/>
  <c r="AH78" s="1"/>
  <c r="AH80" s="1"/>
  <c r="AG8"/>
  <c r="AG78" s="1"/>
  <c r="AG80" s="1"/>
  <c r="AF8"/>
  <c r="AF78" s="1"/>
  <c r="AF80" s="1"/>
  <c r="AE8"/>
  <c r="AE78" s="1"/>
  <c r="AE80" s="1"/>
  <c r="AD8"/>
  <c r="AD78" s="1"/>
  <c r="AD80" s="1"/>
  <c r="AA8"/>
  <c r="AA78" s="1"/>
  <c r="AA80" s="1"/>
  <c r="AI7"/>
  <c r="AH7"/>
  <c r="AG7"/>
  <c r="AF7"/>
  <c r="AE7"/>
  <c r="AD7"/>
  <c r="AA7"/>
  <c r="AI5"/>
  <c r="AI4" s="1"/>
  <c r="AH5"/>
  <c r="AG5"/>
  <c r="AG4" s="1"/>
  <c r="AF5"/>
  <c r="AE5"/>
  <c r="AE4" s="1"/>
  <c r="AD5"/>
  <c r="AA5"/>
  <c r="AA4" s="1"/>
  <c r="AA21" s="1"/>
  <c r="Z50"/>
  <c r="Y50"/>
  <c r="X50"/>
  <c r="W50"/>
  <c r="V50"/>
  <c r="U50"/>
  <c r="R50"/>
  <c r="Z48"/>
  <c r="Y48"/>
  <c r="X48"/>
  <c r="W48"/>
  <c r="V48"/>
  <c r="U48"/>
  <c r="R48"/>
  <c r="Z47"/>
  <c r="Y47"/>
  <c r="X47"/>
  <c r="W47"/>
  <c r="V47"/>
  <c r="U47"/>
  <c r="R47"/>
  <c r="Z46"/>
  <c r="X46"/>
  <c r="W46"/>
  <c r="V46"/>
  <c r="U46"/>
  <c r="R46"/>
  <c r="Z43"/>
  <c r="Y43"/>
  <c r="X43"/>
  <c r="W43"/>
  <c r="V43"/>
  <c r="U43"/>
  <c r="R43"/>
  <c r="Z42"/>
  <c r="Y42"/>
  <c r="X42"/>
  <c r="W42"/>
  <c r="V42"/>
  <c r="U42"/>
  <c r="R42"/>
  <c r="Z40"/>
  <c r="Y40"/>
  <c r="X40"/>
  <c r="W40"/>
  <c r="V40"/>
  <c r="U40"/>
  <c r="R40"/>
  <c r="Z39"/>
  <c r="Y39"/>
  <c r="X39"/>
  <c r="W39"/>
  <c r="V39"/>
  <c r="U39"/>
  <c r="R39"/>
  <c r="Z38"/>
  <c r="Z79" s="1"/>
  <c r="Y38"/>
  <c r="Y79" s="1"/>
  <c r="X38"/>
  <c r="X79" s="1"/>
  <c r="W38"/>
  <c r="W79" s="1"/>
  <c r="V38"/>
  <c r="V79" s="1"/>
  <c r="U38"/>
  <c r="U79" s="1"/>
  <c r="R79"/>
  <c r="Z34"/>
  <c r="Y34"/>
  <c r="X34"/>
  <c r="W34"/>
  <c r="V34"/>
  <c r="U34"/>
  <c r="R34"/>
  <c r="Z33"/>
  <c r="Z32"/>
  <c r="Y32"/>
  <c r="X32"/>
  <c r="W32"/>
  <c r="V32"/>
  <c r="U32"/>
  <c r="R32"/>
  <c r="Z31"/>
  <c r="Y31"/>
  <c r="X31"/>
  <c r="W31"/>
  <c r="V31"/>
  <c r="U31"/>
  <c r="R31"/>
  <c r="Z30"/>
  <c r="Y30"/>
  <c r="X30"/>
  <c r="W30"/>
  <c r="V30"/>
  <c r="U30"/>
  <c r="R30"/>
  <c r="Y29"/>
  <c r="X29"/>
  <c r="W29"/>
  <c r="V29"/>
  <c r="U29"/>
  <c r="R29"/>
  <c r="Z27"/>
  <c r="Y27"/>
  <c r="X27"/>
  <c r="W27"/>
  <c r="V27"/>
  <c r="U27"/>
  <c r="R27"/>
  <c r="Z26"/>
  <c r="Y26"/>
  <c r="X26"/>
  <c r="W26"/>
  <c r="V26"/>
  <c r="U26"/>
  <c r="R26"/>
  <c r="Z23"/>
  <c r="Y23"/>
  <c r="X23"/>
  <c r="W23"/>
  <c r="V23"/>
  <c r="U23"/>
  <c r="R23"/>
  <c r="Z22"/>
  <c r="Y22"/>
  <c r="X22"/>
  <c r="W22"/>
  <c r="V22"/>
  <c r="U22"/>
  <c r="R22"/>
  <c r="Z19"/>
  <c r="Y19"/>
  <c r="X19"/>
  <c r="W19"/>
  <c r="V19"/>
  <c r="U19"/>
  <c r="R19"/>
  <c r="Z16"/>
  <c r="Y16"/>
  <c r="X16"/>
  <c r="W16"/>
  <c r="V16"/>
  <c r="U16"/>
  <c r="R16"/>
  <c r="Z12"/>
  <c r="Y12"/>
  <c r="Y76" s="1"/>
  <c r="Y82" s="1"/>
  <c r="X12"/>
  <c r="W12"/>
  <c r="W76" s="1"/>
  <c r="W82" s="1"/>
  <c r="V12"/>
  <c r="U12"/>
  <c r="U76" s="1"/>
  <c r="U82" s="1"/>
  <c r="R12"/>
  <c r="Z11"/>
  <c r="Y11"/>
  <c r="X11"/>
  <c r="W11"/>
  <c r="V11"/>
  <c r="U11"/>
  <c r="R11"/>
  <c r="Z9"/>
  <c r="Y9"/>
  <c r="X9"/>
  <c r="W9"/>
  <c r="V9"/>
  <c r="U9"/>
  <c r="R9"/>
  <c r="Z8"/>
  <c r="Z78" s="1"/>
  <c r="Z80" s="1"/>
  <c r="Y8"/>
  <c r="Y78" s="1"/>
  <c r="X8"/>
  <c r="X78" s="1"/>
  <c r="X80" s="1"/>
  <c r="W8"/>
  <c r="W78" s="1"/>
  <c r="V8"/>
  <c r="V78" s="1"/>
  <c r="V80" s="1"/>
  <c r="U8"/>
  <c r="U78" s="1"/>
  <c r="R8"/>
  <c r="R78" s="1"/>
  <c r="R80" s="1"/>
  <c r="Z7"/>
  <c r="Y7"/>
  <c r="X7"/>
  <c r="W7"/>
  <c r="V7"/>
  <c r="U7"/>
  <c r="R7"/>
  <c r="Z5"/>
  <c r="Y5"/>
  <c r="X5"/>
  <c r="W5"/>
  <c r="W4" s="1"/>
  <c r="W81" s="1"/>
  <c r="V5"/>
  <c r="U5"/>
  <c r="Y4"/>
  <c r="Y81" s="1"/>
  <c r="U4"/>
  <c r="U81" s="1"/>
  <c r="L51"/>
  <c r="I51"/>
  <c r="Q50"/>
  <c r="P50"/>
  <c r="O50"/>
  <c r="N50"/>
  <c r="M50"/>
  <c r="L50"/>
  <c r="I50"/>
  <c r="Q48"/>
  <c r="P48"/>
  <c r="O48"/>
  <c r="N48"/>
  <c r="M48"/>
  <c r="L48"/>
  <c r="I48"/>
  <c r="Q47"/>
  <c r="P47"/>
  <c r="O47"/>
  <c r="N47"/>
  <c r="M47"/>
  <c r="Q46"/>
  <c r="P46"/>
  <c r="O46"/>
  <c r="N46"/>
  <c r="M46"/>
  <c r="L46"/>
  <c r="I46"/>
  <c r="Q43"/>
  <c r="P43"/>
  <c r="O43"/>
  <c r="N43"/>
  <c r="M43"/>
  <c r="L43"/>
  <c r="I43"/>
  <c r="Q42"/>
  <c r="P42"/>
  <c r="O42"/>
  <c r="N42"/>
  <c r="M42"/>
  <c r="L42"/>
  <c r="I42"/>
  <c r="Q40"/>
  <c r="P40"/>
  <c r="O40"/>
  <c r="N40"/>
  <c r="M40"/>
  <c r="L40"/>
  <c r="I40"/>
  <c r="Q39"/>
  <c r="P39"/>
  <c r="O39"/>
  <c r="N39"/>
  <c r="M39"/>
  <c r="L39"/>
  <c r="I39"/>
  <c r="Q79"/>
  <c r="P79"/>
  <c r="O79"/>
  <c r="N79"/>
  <c r="M79"/>
  <c r="L79"/>
  <c r="I79"/>
  <c r="Q34"/>
  <c r="P34"/>
  <c r="O34"/>
  <c r="N34"/>
  <c r="M34"/>
  <c r="L34"/>
  <c r="I34"/>
  <c r="Q32"/>
  <c r="P32"/>
  <c r="O32"/>
  <c r="N32"/>
  <c r="M32"/>
  <c r="L32"/>
  <c r="I32"/>
  <c r="Q31"/>
  <c r="P31"/>
  <c r="O31"/>
  <c r="N31"/>
  <c r="M31"/>
  <c r="L31"/>
  <c r="I31"/>
  <c r="Q30"/>
  <c r="P30"/>
  <c r="O30"/>
  <c r="N30"/>
  <c r="L30"/>
  <c r="L29" s="1"/>
  <c r="I30"/>
  <c r="Q29"/>
  <c r="P29"/>
  <c r="O29"/>
  <c r="N29"/>
  <c r="M29"/>
  <c r="Q27"/>
  <c r="P27"/>
  <c r="O27"/>
  <c r="N27"/>
  <c r="M27"/>
  <c r="L27"/>
  <c r="I27"/>
  <c r="Q26"/>
  <c r="P26"/>
  <c r="O26"/>
  <c r="N26"/>
  <c r="M26"/>
  <c r="L26"/>
  <c r="I26"/>
  <c r="Q23"/>
  <c r="P23"/>
  <c r="O23"/>
  <c r="N23"/>
  <c r="M23"/>
  <c r="L23"/>
  <c r="I23"/>
  <c r="Q22"/>
  <c r="P22"/>
  <c r="O22"/>
  <c r="N22"/>
  <c r="M22"/>
  <c r="L22"/>
  <c r="I22"/>
  <c r="Q19"/>
  <c r="P19"/>
  <c r="O19"/>
  <c r="N19"/>
  <c r="M19"/>
  <c r="L19"/>
  <c r="I19"/>
  <c r="Q16"/>
  <c r="P16"/>
  <c r="O16"/>
  <c r="N16"/>
  <c r="M16"/>
  <c r="L16"/>
  <c r="I16"/>
  <c r="Q12"/>
  <c r="P12"/>
  <c r="O12"/>
  <c r="N12"/>
  <c r="M12"/>
  <c r="L12"/>
  <c r="I12"/>
  <c r="Q11"/>
  <c r="P11"/>
  <c r="O11"/>
  <c r="N11"/>
  <c r="M11"/>
  <c r="L11"/>
  <c r="I11"/>
  <c r="Q9"/>
  <c r="P9"/>
  <c r="O9"/>
  <c r="N9"/>
  <c r="M9"/>
  <c r="Q8"/>
  <c r="Q78" s="1"/>
  <c r="Q80" s="1"/>
  <c r="P8"/>
  <c r="P78" s="1"/>
  <c r="P80" s="1"/>
  <c r="O8"/>
  <c r="O78" s="1"/>
  <c r="O80" s="1"/>
  <c r="N8"/>
  <c r="N78" s="1"/>
  <c r="N80" s="1"/>
  <c r="M8"/>
  <c r="M78" s="1"/>
  <c r="M80" s="1"/>
  <c r="L78"/>
  <c r="L80" s="1"/>
  <c r="I78"/>
  <c r="I80" s="1"/>
  <c r="Q7"/>
  <c r="P7"/>
  <c r="O7"/>
  <c r="N7"/>
  <c r="M7"/>
  <c r="L7"/>
  <c r="F79"/>
  <c r="E79"/>
  <c r="D79"/>
  <c r="F78"/>
  <c r="E78"/>
  <c r="D78"/>
  <c r="F76"/>
  <c r="F82" s="1"/>
  <c r="E76"/>
  <c r="E82" s="1"/>
  <c r="D76"/>
  <c r="F75"/>
  <c r="E75"/>
  <c r="D75"/>
  <c r="H51"/>
  <c r="G51"/>
  <c r="F51"/>
  <c r="E51"/>
  <c r="D51"/>
  <c r="H50"/>
  <c r="G50"/>
  <c r="F50"/>
  <c r="E50"/>
  <c r="D50"/>
  <c r="H48"/>
  <c r="G48"/>
  <c r="F48"/>
  <c r="E48"/>
  <c r="D48"/>
  <c r="H46"/>
  <c r="G46"/>
  <c r="H43"/>
  <c r="G43"/>
  <c r="H42"/>
  <c r="G42"/>
  <c r="H40"/>
  <c r="H39"/>
  <c r="H79"/>
  <c r="G79"/>
  <c r="H34"/>
  <c r="G34"/>
  <c r="F34"/>
  <c r="F85" s="1"/>
  <c r="E34"/>
  <c r="E85" s="1"/>
  <c r="D34"/>
  <c r="D85" s="1"/>
  <c r="H32"/>
  <c r="G29"/>
  <c r="H31"/>
  <c r="G31"/>
  <c r="E31"/>
  <c r="H30"/>
  <c r="G85"/>
  <c r="F29"/>
  <c r="E29"/>
  <c r="D29"/>
  <c r="H27"/>
  <c r="G27"/>
  <c r="F27"/>
  <c r="E27"/>
  <c r="D27"/>
  <c r="H26"/>
  <c r="G26"/>
  <c r="F26"/>
  <c r="E26"/>
  <c r="D26"/>
  <c r="H23"/>
  <c r="G23"/>
  <c r="H22"/>
  <c r="G22"/>
  <c r="H16"/>
  <c r="G16"/>
  <c r="F16"/>
  <c r="E16"/>
  <c r="H12"/>
  <c r="H11"/>
  <c r="H78"/>
  <c r="G78"/>
  <c r="H4"/>
  <c r="G4"/>
  <c r="F4"/>
  <c r="F58" s="1"/>
  <c r="E4"/>
  <c r="D4"/>
  <c r="C79"/>
  <c r="C78"/>
  <c r="C76"/>
  <c r="C82" s="1"/>
  <c r="C75"/>
  <c r="C51"/>
  <c r="C50"/>
  <c r="C48"/>
  <c r="C47"/>
  <c r="C34"/>
  <c r="C85" s="1"/>
  <c r="C29"/>
  <c r="C27"/>
  <c r="C26"/>
  <c r="C4"/>
  <c r="E9" i="10" l="1"/>
  <c r="H72" i="9"/>
  <c r="H66"/>
  <c r="H65"/>
  <c r="H69"/>
  <c r="I4"/>
  <c r="M4"/>
  <c r="O4"/>
  <c r="Q4"/>
  <c r="AA82"/>
  <c r="G13" i="11"/>
  <c r="G10" s="1"/>
  <c r="H9" i="12"/>
  <c r="R9" i="10"/>
  <c r="V9"/>
  <c r="AD9"/>
  <c r="AL9"/>
  <c r="AP9"/>
  <c r="AX9"/>
  <c r="BB9"/>
  <c r="E7"/>
  <c r="E6" s="1"/>
  <c r="F7"/>
  <c r="G18" i="9" s="1"/>
  <c r="H7" i="10"/>
  <c r="H6" s="1"/>
  <c r="J7"/>
  <c r="J6" s="1"/>
  <c r="P7"/>
  <c r="P6" s="1"/>
  <c r="R7"/>
  <c r="R6" s="1"/>
  <c r="T7"/>
  <c r="T6" s="1"/>
  <c r="V7"/>
  <c r="V6" s="1"/>
  <c r="AB7"/>
  <c r="AB6" s="1"/>
  <c r="AD7"/>
  <c r="AD6" s="1"/>
  <c r="AF7"/>
  <c r="AF6" s="1"/>
  <c r="AL7"/>
  <c r="AL6" s="1"/>
  <c r="AN7"/>
  <c r="AN6" s="1"/>
  <c r="AP7"/>
  <c r="AP6" s="1"/>
  <c r="AR7"/>
  <c r="AR6" s="1"/>
  <c r="AX7"/>
  <c r="AX6" s="1"/>
  <c r="AZ7"/>
  <c r="AZ6" s="1"/>
  <c r="BB7"/>
  <c r="BB6" s="1"/>
  <c r="F9"/>
  <c r="G11"/>
  <c r="I11"/>
  <c r="K11"/>
  <c r="Q11"/>
  <c r="S11"/>
  <c r="U11"/>
  <c r="AA11"/>
  <c r="AC11"/>
  <c r="AE11"/>
  <c r="AG11"/>
  <c r="AM11"/>
  <c r="AO11"/>
  <c r="AQ11"/>
  <c r="AW11"/>
  <c r="AY11"/>
  <c r="BA11"/>
  <c r="F19"/>
  <c r="H19"/>
  <c r="J19"/>
  <c r="P19"/>
  <c r="R19"/>
  <c r="T19"/>
  <c r="V19"/>
  <c r="AB19"/>
  <c r="AE82" i="9"/>
  <c r="AG82"/>
  <c r="AI82"/>
  <c r="H29"/>
  <c r="I76"/>
  <c r="I82" s="1"/>
  <c r="M76"/>
  <c r="M82" s="1"/>
  <c r="O76"/>
  <c r="O82" s="1"/>
  <c r="Q76"/>
  <c r="Q82" s="1"/>
  <c r="W83"/>
  <c r="W49" s="1"/>
  <c r="U80"/>
  <c r="W80"/>
  <c r="Y80"/>
  <c r="G80"/>
  <c r="H76"/>
  <c r="D77"/>
  <c r="F77"/>
  <c r="AE21"/>
  <c r="AG21"/>
  <c r="AI21"/>
  <c r="AH76"/>
  <c r="AH82" s="1"/>
  <c r="H21"/>
  <c r="H80"/>
  <c r="G76"/>
  <c r="G82" s="1"/>
  <c r="U83"/>
  <c r="U49" s="1"/>
  <c r="Y83"/>
  <c r="Y49" s="1"/>
  <c r="H61"/>
  <c r="M81"/>
  <c r="M83" s="1"/>
  <c r="M49" s="1"/>
  <c r="M61"/>
  <c r="L75"/>
  <c r="N75"/>
  <c r="P75"/>
  <c r="I61"/>
  <c r="N85"/>
  <c r="P85"/>
  <c r="R75"/>
  <c r="V75"/>
  <c r="X75"/>
  <c r="Z75"/>
  <c r="AD75"/>
  <c r="AD77" s="1"/>
  <c r="AF75"/>
  <c r="AF77" s="1"/>
  <c r="AH75"/>
  <c r="AH77" s="1"/>
  <c r="AA61"/>
  <c r="AE61"/>
  <c r="AG61"/>
  <c r="AI61"/>
  <c r="AJ75"/>
  <c r="AJ77" s="1"/>
  <c r="AN75"/>
  <c r="AN77" s="1"/>
  <c r="AP75"/>
  <c r="AP77" s="1"/>
  <c r="AR75"/>
  <c r="AR77" s="1"/>
  <c r="AM85"/>
  <c r="AM61"/>
  <c r="AO85"/>
  <c r="AO61"/>
  <c r="AQ85"/>
  <c r="AQ61"/>
  <c r="AV75"/>
  <c r="AV77" s="1"/>
  <c r="AS61"/>
  <c r="AW61"/>
  <c r="D81"/>
  <c r="D60"/>
  <c r="D58"/>
  <c r="D61"/>
  <c r="D59"/>
  <c r="E58"/>
  <c r="G81"/>
  <c r="G83" s="1"/>
  <c r="G49" s="1"/>
  <c r="G61"/>
  <c r="G58"/>
  <c r="G75"/>
  <c r="G77" s="1"/>
  <c r="D82"/>
  <c r="H67"/>
  <c r="I75"/>
  <c r="I77" s="1"/>
  <c r="M75"/>
  <c r="M77" s="1"/>
  <c r="O75"/>
  <c r="O77" s="1"/>
  <c r="Q75"/>
  <c r="Q77" s="1"/>
  <c r="L85"/>
  <c r="O61"/>
  <c r="Q61"/>
  <c r="U75"/>
  <c r="U77" s="1"/>
  <c r="W75"/>
  <c r="W77" s="1"/>
  <c r="Y75"/>
  <c r="Y77" s="1"/>
  <c r="U85"/>
  <c r="U61"/>
  <c r="W85"/>
  <c r="W61"/>
  <c r="Y85"/>
  <c r="Y61"/>
  <c r="AA75"/>
  <c r="AA77" s="1"/>
  <c r="AE75"/>
  <c r="AE77" s="1"/>
  <c r="AG75"/>
  <c r="AG77" s="1"/>
  <c r="AI75"/>
  <c r="AI77" s="1"/>
  <c r="AD85"/>
  <c r="AF85"/>
  <c r="AH85"/>
  <c r="AM75"/>
  <c r="AM77" s="1"/>
  <c r="AO75"/>
  <c r="AO77" s="1"/>
  <c r="AQ75"/>
  <c r="AQ77" s="1"/>
  <c r="AS75"/>
  <c r="AS77" s="1"/>
  <c r="AW75"/>
  <c r="AW77" s="1"/>
  <c r="AV85"/>
  <c r="AV61"/>
  <c r="H82"/>
  <c r="G60"/>
  <c r="G59"/>
  <c r="E77"/>
  <c r="L4"/>
  <c r="N4"/>
  <c r="P4"/>
  <c r="L76"/>
  <c r="L82" s="1"/>
  <c r="N76"/>
  <c r="N82" s="1"/>
  <c r="P76"/>
  <c r="P82" s="1"/>
  <c r="I29"/>
  <c r="R4"/>
  <c r="V4"/>
  <c r="V81" s="1"/>
  <c r="X4"/>
  <c r="X81" s="1"/>
  <c r="Z4"/>
  <c r="Z81" s="1"/>
  <c r="R76"/>
  <c r="R82" s="1"/>
  <c r="V76"/>
  <c r="V82" s="1"/>
  <c r="X76"/>
  <c r="X82" s="1"/>
  <c r="Z76"/>
  <c r="Z82" s="1"/>
  <c r="AD4"/>
  <c r="AD81" s="1"/>
  <c r="AD83" s="1"/>
  <c r="AD49" s="1"/>
  <c r="AF4"/>
  <c r="AF81" s="1"/>
  <c r="AF83" s="1"/>
  <c r="AF49" s="1"/>
  <c r="AH4"/>
  <c r="AH81" s="1"/>
  <c r="AH83" s="1"/>
  <c r="AH49" s="1"/>
  <c r="AA29"/>
  <c r="AE29"/>
  <c r="AG29"/>
  <c r="AI29"/>
  <c r="AJ4"/>
  <c r="AJ21" s="1"/>
  <c r="AJ37" s="1"/>
  <c r="AJ44" s="1"/>
  <c r="AN4"/>
  <c r="AN21" s="1"/>
  <c r="AN37" s="1"/>
  <c r="AN44" s="1"/>
  <c r="AP4"/>
  <c r="AP21" s="1"/>
  <c r="AP37" s="1"/>
  <c r="AP44" s="1"/>
  <c r="AR4"/>
  <c r="AR21" s="1"/>
  <c r="AR37" s="1"/>
  <c r="AR44" s="1"/>
  <c r="AM29"/>
  <c r="AO29"/>
  <c r="AQ29"/>
  <c r="F81"/>
  <c r="F83" s="1"/>
  <c r="F49" s="1"/>
  <c r="F61"/>
  <c r="F60"/>
  <c r="F59"/>
  <c r="D83"/>
  <c r="D80"/>
  <c r="C80"/>
  <c r="C66"/>
  <c r="G67" s="1"/>
  <c r="C77"/>
  <c r="C61"/>
  <c r="C58"/>
  <c r="F6" i="10"/>
  <c r="G8" i="12"/>
  <c r="G21" i="11"/>
  <c r="J8" i="12"/>
  <c r="H8" s="1"/>
  <c r="F10" i="11"/>
  <c r="G9"/>
  <c r="G8" s="1"/>
  <c r="G14"/>
  <c r="J7" i="12"/>
  <c r="E13" i="11"/>
  <c r="D5" i="13"/>
  <c r="I7" i="12"/>
  <c r="E10"/>
  <c r="C10"/>
  <c r="B10" s="1"/>
  <c r="D11"/>
  <c r="B11" s="1"/>
  <c r="H11"/>
  <c r="H13"/>
  <c r="D13"/>
  <c r="B13" s="1"/>
  <c r="H15"/>
  <c r="D15"/>
  <c r="B15" s="1"/>
  <c r="H17"/>
  <c r="D17"/>
  <c r="B17" s="1"/>
  <c r="H19"/>
  <c r="D19"/>
  <c r="B19" s="1"/>
  <c r="H21"/>
  <c r="D21"/>
  <c r="B21" s="1"/>
  <c r="H23"/>
  <c r="D23"/>
  <c r="B23" s="1"/>
  <c r="C9"/>
  <c r="D7" i="13"/>
  <c r="B7" s="1"/>
  <c r="G9" i="12"/>
  <c r="D9" s="1"/>
  <c r="H12"/>
  <c r="D12"/>
  <c r="B12" s="1"/>
  <c r="H14"/>
  <c r="D14"/>
  <c r="B14" s="1"/>
  <c r="H16"/>
  <c r="D16"/>
  <c r="B16" s="1"/>
  <c r="H18"/>
  <c r="D18"/>
  <c r="B18" s="1"/>
  <c r="H20"/>
  <c r="D20"/>
  <c r="B20" s="1"/>
  <c r="H22"/>
  <c r="D22"/>
  <c r="B22" s="1"/>
  <c r="G11" i="11"/>
  <c r="C6" i="13"/>
  <c r="B6" s="1"/>
  <c r="F8" i="12"/>
  <c r="E14" i="11"/>
  <c r="F14"/>
  <c r="F21"/>
  <c r="E80" i="9"/>
  <c r="E61"/>
  <c r="F80"/>
  <c r="F36" i="11"/>
  <c r="AV21" i="9"/>
  <c r="AV37" s="1"/>
  <c r="AV44" s="1"/>
  <c r="AS81"/>
  <c r="AS83" s="1"/>
  <c r="AS49" s="1"/>
  <c r="AW81"/>
  <c r="AW83" s="1"/>
  <c r="AW49" s="1"/>
  <c r="AS85"/>
  <c r="AW85"/>
  <c r="AM21"/>
  <c r="AO21"/>
  <c r="AO37" s="1"/>
  <c r="AO44" s="1"/>
  <c r="AQ21"/>
  <c r="AJ81"/>
  <c r="AJ83" s="1"/>
  <c r="AJ49" s="1"/>
  <c r="AN81"/>
  <c r="AN83" s="1"/>
  <c r="AN49" s="1"/>
  <c r="AP81"/>
  <c r="AP83" s="1"/>
  <c r="AP49" s="1"/>
  <c r="AR81"/>
  <c r="AR83" s="1"/>
  <c r="AR49" s="1"/>
  <c r="AJ85"/>
  <c r="AN85"/>
  <c r="AP85"/>
  <c r="AR85"/>
  <c r="AD21"/>
  <c r="AD37" s="1"/>
  <c r="AD44" s="1"/>
  <c r="AF21"/>
  <c r="AF37" s="1"/>
  <c r="AF44" s="1"/>
  <c r="AH21"/>
  <c r="AH37" s="1"/>
  <c r="AH44" s="1"/>
  <c r="AA81"/>
  <c r="AA83" s="1"/>
  <c r="AA49" s="1"/>
  <c r="AE81"/>
  <c r="AE83" s="1"/>
  <c r="AE49" s="1"/>
  <c r="AG81"/>
  <c r="AG83" s="1"/>
  <c r="AG49" s="1"/>
  <c r="AI81"/>
  <c r="AI83" s="1"/>
  <c r="AI49" s="1"/>
  <c r="AA85"/>
  <c r="AE85"/>
  <c r="AG85"/>
  <c r="AI85"/>
  <c r="R21"/>
  <c r="V21"/>
  <c r="V37" s="1"/>
  <c r="V44" s="1"/>
  <c r="X21"/>
  <c r="X37" s="1"/>
  <c r="X44" s="1"/>
  <c r="Z21"/>
  <c r="Z29"/>
  <c r="R85"/>
  <c r="V85"/>
  <c r="X85"/>
  <c r="Z85"/>
  <c r="U21"/>
  <c r="U37" s="1"/>
  <c r="U44" s="1"/>
  <c r="W21"/>
  <c r="W37" s="1"/>
  <c r="W44" s="1"/>
  <c r="Y21"/>
  <c r="Y37" s="1"/>
  <c r="Y44" s="1"/>
  <c r="I21"/>
  <c r="M21"/>
  <c r="O21"/>
  <c r="Q21"/>
  <c r="I85"/>
  <c r="M85"/>
  <c r="O85"/>
  <c r="Q85"/>
  <c r="L21"/>
  <c r="N21"/>
  <c r="P21"/>
  <c r="D21"/>
  <c r="D37" s="1"/>
  <c r="D44" s="1"/>
  <c r="F21"/>
  <c r="F37" s="1"/>
  <c r="F44" s="1"/>
  <c r="G21"/>
  <c r="G37" s="1"/>
  <c r="G44" s="1"/>
  <c r="H75"/>
  <c r="H77" s="1"/>
  <c r="E81"/>
  <c r="E83" s="1"/>
  <c r="E49" s="1"/>
  <c r="H81"/>
  <c r="H83" s="1"/>
  <c r="H49" s="1"/>
  <c r="H85"/>
  <c r="E21"/>
  <c r="E37" s="1"/>
  <c r="E44" s="1"/>
  <c r="H45"/>
  <c r="E60"/>
  <c r="C60"/>
  <c r="C81"/>
  <c r="C83" s="1"/>
  <c r="C21"/>
  <c r="C37" s="1"/>
  <c r="C44" s="1"/>
  <c r="I68" l="1"/>
  <c r="R28"/>
  <c r="R37" s="1"/>
  <c r="R44" s="1"/>
  <c r="R81"/>
  <c r="R66"/>
  <c r="W67" s="1"/>
  <c r="R65"/>
  <c r="R72"/>
  <c r="R69"/>
  <c r="Q28"/>
  <c r="Q37" s="1"/>
  <c r="Q44" s="1"/>
  <c r="Q81"/>
  <c r="Q83" s="1"/>
  <c r="Q49" s="1"/>
  <c r="Q72"/>
  <c r="Q66"/>
  <c r="V67" s="1"/>
  <c r="Q69"/>
  <c r="Q65"/>
  <c r="P81"/>
  <c r="P66"/>
  <c r="U67" s="1"/>
  <c r="P65"/>
  <c r="P72"/>
  <c r="P69"/>
  <c r="P28"/>
  <c r="P37" s="1"/>
  <c r="P44" s="1"/>
  <c r="O28"/>
  <c r="O37" s="1"/>
  <c r="O44" s="1"/>
  <c r="O81"/>
  <c r="O83" s="1"/>
  <c r="O49" s="1"/>
  <c r="O72"/>
  <c r="O66"/>
  <c r="O69"/>
  <c r="O65"/>
  <c r="N81"/>
  <c r="N66"/>
  <c r="N65"/>
  <c r="N72"/>
  <c r="N69"/>
  <c r="N28"/>
  <c r="N37" s="1"/>
  <c r="N44" s="1"/>
  <c r="M28"/>
  <c r="M37" s="1"/>
  <c r="M44" s="1"/>
  <c r="M72"/>
  <c r="M66"/>
  <c r="M69"/>
  <c r="M65"/>
  <c r="L28"/>
  <c r="L37" s="1"/>
  <c r="L44" s="1"/>
  <c r="L81"/>
  <c r="L72"/>
  <c r="L69"/>
  <c r="L66"/>
  <c r="O68" s="1"/>
  <c r="L65"/>
  <c r="I28"/>
  <c r="I37" s="1"/>
  <c r="I44" s="1"/>
  <c r="I81"/>
  <c r="I65"/>
  <c r="I72"/>
  <c r="I74" s="1"/>
  <c r="I69"/>
  <c r="I71" s="1"/>
  <c r="I66"/>
  <c r="L68" s="1"/>
  <c r="I83"/>
  <c r="I49" s="1"/>
  <c r="H74"/>
  <c r="H73"/>
  <c r="H28"/>
  <c r="H37" s="1"/>
  <c r="H44" s="1"/>
  <c r="H71"/>
  <c r="H70"/>
  <c r="M67"/>
  <c r="AQ37"/>
  <c r="AQ44" s="1"/>
  <c r="AM37"/>
  <c r="AM44" s="1"/>
  <c r="I67"/>
  <c r="BA8" i="10"/>
  <c r="BA6" s="1"/>
  <c r="BA9"/>
  <c r="AW8"/>
  <c r="AW6" s="1"/>
  <c r="AW9"/>
  <c r="AO9"/>
  <c r="AO8"/>
  <c r="AO6" s="1"/>
  <c r="AG9"/>
  <c r="AG8"/>
  <c r="AG6" s="1"/>
  <c r="AC9"/>
  <c r="AC8"/>
  <c r="AC6" s="1"/>
  <c r="U9"/>
  <c r="U8"/>
  <c r="U6" s="1"/>
  <c r="Q9"/>
  <c r="Q8"/>
  <c r="Q6" s="1"/>
  <c r="I9"/>
  <c r="I8"/>
  <c r="I6" s="1"/>
  <c r="AY9"/>
  <c r="AY8"/>
  <c r="AY6" s="1"/>
  <c r="AQ9"/>
  <c r="AQ8"/>
  <c r="AQ6" s="1"/>
  <c r="AM9"/>
  <c r="AM8"/>
  <c r="AM6" s="1"/>
  <c r="AE9"/>
  <c r="AE8"/>
  <c r="AE6" s="1"/>
  <c r="AA9"/>
  <c r="AA8"/>
  <c r="AA6" s="1"/>
  <c r="S8"/>
  <c r="S6" s="1"/>
  <c r="S9"/>
  <c r="K8"/>
  <c r="K6" s="1"/>
  <c r="K9"/>
  <c r="G8"/>
  <c r="G6" s="1"/>
  <c r="G9"/>
  <c r="P83" i="9"/>
  <c r="P49" s="1"/>
  <c r="L83"/>
  <c r="L49" s="1"/>
  <c r="Z37"/>
  <c r="Z44" s="1"/>
  <c r="Z83"/>
  <c r="Z49" s="1"/>
  <c r="V83"/>
  <c r="V49" s="1"/>
  <c r="AP61"/>
  <c r="AJ61"/>
  <c r="AF61"/>
  <c r="AG37"/>
  <c r="AG44" s="1"/>
  <c r="AA37"/>
  <c r="AA44" s="1"/>
  <c r="Z77"/>
  <c r="X77"/>
  <c r="V77"/>
  <c r="R77"/>
  <c r="N61"/>
  <c r="P77"/>
  <c r="N77"/>
  <c r="L77"/>
  <c r="X83"/>
  <c r="X49" s="1"/>
  <c r="R83"/>
  <c r="R49" s="1"/>
  <c r="N83"/>
  <c r="N49" s="1"/>
  <c r="AR61"/>
  <c r="AN61"/>
  <c r="AH61"/>
  <c r="AD61"/>
  <c r="L61"/>
  <c r="AI37"/>
  <c r="AI44" s="1"/>
  <c r="AE37"/>
  <c r="AE44" s="1"/>
  <c r="AP67"/>
  <c r="Z61"/>
  <c r="X61"/>
  <c r="V61"/>
  <c r="R61"/>
  <c r="Z67"/>
  <c r="X67"/>
  <c r="P61"/>
  <c r="Q67"/>
  <c r="H7" i="12"/>
  <c r="E21" i="11"/>
  <c r="H60" i="9"/>
  <c r="H59"/>
  <c r="H58"/>
  <c r="I45"/>
  <c r="D8" i="12"/>
  <c r="E10" i="11"/>
  <c r="G7" i="12"/>
  <c r="D7" s="1"/>
  <c r="E12" i="11"/>
  <c r="C5" i="13" s="1"/>
  <c r="B5" s="1"/>
  <c r="E9" i="12"/>
  <c r="B9"/>
  <c r="E8"/>
  <c r="C8"/>
  <c r="F12" i="11"/>
  <c r="AQ67" i="9"/>
  <c r="AG67"/>
  <c r="AH67"/>
  <c r="Y67"/>
  <c r="L45"/>
  <c r="L67" l="1"/>
  <c r="N67"/>
  <c r="N73" s="1"/>
  <c r="N68"/>
  <c r="M68"/>
  <c r="W73"/>
  <c r="W70"/>
  <c r="V70"/>
  <c r="V73"/>
  <c r="U73"/>
  <c r="U70"/>
  <c r="Q73"/>
  <c r="Q70"/>
  <c r="I70"/>
  <c r="I73"/>
  <c r="L73"/>
  <c r="L70"/>
  <c r="M70"/>
  <c r="M73"/>
  <c r="P67"/>
  <c r="E9" i="11"/>
  <c r="E8" s="1"/>
  <c r="AA67" i="9"/>
  <c r="AS67"/>
  <c r="AR67"/>
  <c r="O67"/>
  <c r="AI67"/>
  <c r="R67"/>
  <c r="AJ67"/>
  <c r="B8" i="12"/>
  <c r="L59" i="9"/>
  <c r="L60"/>
  <c r="L58"/>
  <c r="I60"/>
  <c r="I59"/>
  <c r="I58"/>
  <c r="F7" i="12"/>
  <c r="E7" s="1"/>
  <c r="E11" i="11"/>
  <c r="F11"/>
  <c r="F9"/>
  <c r="F8" s="1"/>
  <c r="M45" i="9"/>
  <c r="N70" l="1"/>
  <c r="Z74"/>
  <c r="Z71"/>
  <c r="Y71"/>
  <c r="Y74"/>
  <c r="X74"/>
  <c r="X71"/>
  <c r="R70"/>
  <c r="R73"/>
  <c r="V74"/>
  <c r="V71"/>
  <c r="P70"/>
  <c r="P73"/>
  <c r="O73"/>
  <c r="O70"/>
  <c r="P74"/>
  <c r="P71"/>
  <c r="N74"/>
  <c r="N71"/>
  <c r="M71"/>
  <c r="M74"/>
  <c r="L74"/>
  <c r="L71"/>
  <c r="C7" i="12"/>
  <c r="B7" s="1"/>
  <c r="M60" i="9"/>
  <c r="M58"/>
  <c r="M59"/>
  <c r="N45"/>
  <c r="W71" l="1"/>
  <c r="W74"/>
  <c r="U71"/>
  <c r="U74"/>
  <c r="R74"/>
  <c r="R71"/>
  <c r="Q74"/>
  <c r="Q71"/>
  <c r="O71"/>
  <c r="O74"/>
  <c r="N60"/>
  <c r="N59"/>
  <c r="N58"/>
  <c r="O45"/>
  <c r="AH60" i="8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O59" i="9" l="1"/>
  <c r="O60"/>
  <c r="O58"/>
  <c r="P45"/>
  <c r="P58" l="1"/>
  <c r="P59"/>
  <c r="P60"/>
  <c r="Q45"/>
  <c r="Q60" l="1"/>
  <c r="Q58"/>
  <c r="Q59"/>
  <c r="R45"/>
  <c r="R60" l="1"/>
  <c r="R59"/>
  <c r="R58"/>
  <c r="U45"/>
  <c r="U60" l="1"/>
  <c r="U59"/>
  <c r="U58"/>
  <c r="V45"/>
  <c r="V60" l="1"/>
  <c r="V59"/>
  <c r="V58"/>
  <c r="W45"/>
  <c r="W60" l="1"/>
  <c r="W58"/>
  <c r="W59"/>
  <c r="X45"/>
  <c r="X60" l="1"/>
  <c r="X59"/>
  <c r="X58"/>
  <c r="Y45"/>
  <c r="Y58" l="1"/>
  <c r="Y59"/>
  <c r="Y60"/>
  <c r="Z45"/>
  <c r="Z60" l="1"/>
  <c r="Z58"/>
  <c r="Z59"/>
  <c r="AA45"/>
  <c r="AA60" l="1"/>
  <c r="AA58"/>
  <c r="AA59"/>
  <c r="AD45"/>
  <c r="AD60" l="1"/>
  <c r="AD58"/>
  <c r="AD59"/>
  <c r="AE45"/>
  <c r="AE60" l="1"/>
  <c r="AE58"/>
  <c r="AE59"/>
  <c r="AF45"/>
  <c r="AF60" l="1"/>
  <c r="AF58"/>
  <c r="AF59"/>
  <c r="AG45"/>
  <c r="AG60" l="1"/>
  <c r="AG58"/>
  <c r="AG59"/>
  <c r="AH45"/>
  <c r="AH60" l="1"/>
  <c r="AH58"/>
  <c r="AH59"/>
  <c r="AI45"/>
  <c r="AI60" l="1"/>
  <c r="AI58"/>
  <c r="AI59"/>
  <c r="AJ45"/>
  <c r="AJ60" l="1"/>
  <c r="AJ58"/>
  <c r="AJ59"/>
  <c r="AM45"/>
  <c r="AM60" l="1"/>
  <c r="AM58"/>
  <c r="AM59"/>
  <c r="AN45"/>
  <c r="AN60" l="1"/>
  <c r="AN58"/>
  <c r="AN59"/>
  <c r="AO45"/>
  <c r="AO60" l="1"/>
  <c r="AO58"/>
  <c r="AO59"/>
  <c r="AP45"/>
  <c r="AP60" l="1"/>
  <c r="AP58"/>
  <c r="AP59"/>
  <c r="AQ45"/>
  <c r="AQ60" l="1"/>
  <c r="AQ58"/>
  <c r="AQ59"/>
  <c r="AR45"/>
  <c r="AR60" l="1"/>
  <c r="AR58"/>
  <c r="AR59"/>
  <c r="AS45"/>
  <c r="AS60" l="1"/>
  <c r="AS58"/>
  <c r="AS59"/>
  <c r="AV45"/>
  <c r="AV60" l="1"/>
  <c r="AV58"/>
  <c r="AV59"/>
  <c r="AW45"/>
  <c r="AW60" l="1"/>
  <c r="AW58"/>
  <c r="AW59"/>
</calcChain>
</file>

<file path=xl/sharedStrings.xml><?xml version="1.0" encoding="utf-8"?>
<sst xmlns="http://schemas.openxmlformats.org/spreadsheetml/2006/main" count="1431" uniqueCount="305">
  <si>
    <t>Lp.</t>
  </si>
  <si>
    <t>Wyszczególnienie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</si>
  <si>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</si>
  <si>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</si>
  <si>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</si>
  <si>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</si>
  <si>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Spłata i obsługa długu, z tego:</t>
  </si>
  <si>
    <t>Wydatki majątkowe, w tym:</t>
  </si>
  <si>
    <t>2040</t>
  </si>
  <si>
    <t>Wydatki ogółem</t>
  </si>
  <si>
    <t>Wynik budżetu</t>
  </si>
  <si>
    <t>Dochody bieżące - wydatki bieżące</t>
  </si>
  <si>
    <t>Maksymalny dopuszczalny wskaźnik spłaty z art. 243 ufp</t>
  </si>
  <si>
    <t>Relacja planowanej łącznej kwoty spłaty zobowiązań do dochodów  (bez wyłączeń)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</si>
  <si>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</si>
  <si>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</si>
  <si>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</si>
  <si>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>Kwota długu</t>
  </si>
  <si>
    <t>Łączna kwota wyłączeń z art. 170 ust. 3 sufp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</si>
  <si>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</si>
  <si>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</si>
  <si>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</si>
  <si>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</si>
  <si>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</si>
  <si>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</si>
  <si>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</si>
  <si>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>ze sprzedaży majątku</t>
  </si>
  <si>
    <t>Wartość przejętych zobowiązań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</si>
  <si>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</si>
  <si>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</si>
  <si>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</si>
  <si>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</si>
  <si>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</si>
  <si>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</si>
  <si>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</si>
  <si>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</si>
  <si>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</si>
  <si>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</si>
  <si>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</si>
  <si>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</si>
  <si>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</si>
  <si>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</si>
  <si>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</si>
  <si>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</si>
  <si>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</si>
  <si>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</si>
  <si>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</si>
  <si>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</si>
  <si>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</si>
  <si>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</si>
  <si>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</si>
  <si>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</si>
  <si>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</si>
  <si>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</si>
  <si>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</si>
  <si>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</si>
  <si>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</si>
  <si>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</si>
  <si>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</si>
  <si>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</si>
  <si>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</si>
  <si>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</si>
  <si>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</si>
  <si>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</si>
  <si>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</si>
  <si>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</si>
  <si>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</si>
  <si>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</si>
  <si>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</si>
  <si>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</si>
  <si>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</si>
  <si>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</si>
  <si>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</si>
  <si>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</si>
  <si>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</si>
  <si>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</si>
  <si>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</si>
  <si>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</si>
  <si>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</si>
  <si>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</si>
  <si>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</si>
  <si>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</si>
  <si>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</si>
  <si>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</si>
  <si>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</si>
  <si>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</si>
  <si>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</si>
  <si>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</si>
  <si>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</si>
  <si>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</si>
  <si>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</si>
  <si>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</si>
  <si>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wydatki majątkowe objęte limitem art. 226 ust. 4 ufp</t>
  </si>
  <si>
    <t>Dochody majątkowe - wydatki majątkowe</t>
  </si>
  <si>
    <t>Dochody majątkowe (1b)</t>
  </si>
  <si>
    <t>Wydatki majątkowe (10)</t>
  </si>
  <si>
    <t>Wykonanie 2010</t>
  </si>
  <si>
    <t xml:space="preserve"> -</t>
  </si>
  <si>
    <t>18b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</si>
  <si>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</si>
  <si>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</si>
  <si>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</si>
  <si>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</si>
  <si>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</si>
  <si>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</si>
  <si>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</si>
  <si>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</si>
  <si>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</si>
  <si>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</si>
  <si>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</si>
  <si>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</si>
  <si>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</si>
  <si>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</si>
  <si>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</si>
  <si>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</si>
  <si>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</si>
  <si>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</si>
  <si>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</si>
  <si>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</si>
  <si>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</si>
  <si>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</si>
  <si>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</si>
  <si>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</si>
  <si>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</si>
  <si>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</si>
  <si>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</si>
  <si>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</si>
  <si>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</si>
  <si>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Prognoza 2042</t>
  </si>
  <si>
    <t>Prognoza 2043</t>
  </si>
  <si>
    <t>Prognoza 2044</t>
  </si>
  <si>
    <t>Prognoza 2045</t>
  </si>
  <si>
    <t xml:space="preserve"> - 2 -</t>
  </si>
  <si>
    <t xml:space="preserve"> - 4 -</t>
  </si>
  <si>
    <t xml:space="preserve"> - 6 -</t>
  </si>
  <si>
    <t xml:space="preserve"> - 8 -</t>
  </si>
  <si>
    <t xml:space="preserve"> - 10 -</t>
  </si>
  <si>
    <t xml:space="preserve"> - 12 -</t>
  </si>
  <si>
    <t xml:space="preserve">Wykaz przedsięwzięć do Wieloletniej Prognozy Finansowej </t>
  </si>
  <si>
    <t xml:space="preserve"> - 3 -</t>
  </si>
  <si>
    <t xml:space="preserve"> - 5 -</t>
  </si>
  <si>
    <t xml:space="preserve"> - 7 -</t>
  </si>
  <si>
    <t xml:space="preserve"> - 9 -</t>
  </si>
  <si>
    <t xml:space="preserve">Nazwa i cel </t>
  </si>
  <si>
    <t>Jednostka odpowiedzialna lub koordynująca</t>
  </si>
  <si>
    <t>Okres realizacji</t>
  </si>
  <si>
    <t>Łączne nakłady finansowe</t>
  </si>
  <si>
    <t>Limit wydatków w 2013r.</t>
  </si>
  <si>
    <t>Limit wydatków w 2014r.</t>
  </si>
  <si>
    <t>Limit wydatków w 2015r.</t>
  </si>
  <si>
    <t>Limit wydatków w 2016r.</t>
  </si>
  <si>
    <t>Limit wydatków w 2017r.</t>
  </si>
  <si>
    <t>Limit wydatków w 2018r.</t>
  </si>
  <si>
    <t>Limit wydatków w 2019r.</t>
  </si>
  <si>
    <t>Limit wydatków w 2020r.</t>
  </si>
  <si>
    <t>Limit wydatków w 2021r.</t>
  </si>
  <si>
    <t>Limit wydatków w 2022r.</t>
  </si>
  <si>
    <t>Limit wydatków w 2023r.</t>
  </si>
  <si>
    <t>Limit wydatków w 2024r.</t>
  </si>
  <si>
    <t>Limit wydatków w 2025r.</t>
  </si>
  <si>
    <t>Limit wydatków w 2026r.</t>
  </si>
  <si>
    <t>Limit wydatków w 2027r.</t>
  </si>
  <si>
    <t>Limit wydatków w 2028r.</t>
  </si>
  <si>
    <t>Limit wydatków w 2029r.</t>
  </si>
  <si>
    <t>Limit wydatków w 2030r.</t>
  </si>
  <si>
    <t>Limit wydatków w 2031r.</t>
  </si>
  <si>
    <t>Limit wydatków w 2032r.</t>
  </si>
  <si>
    <t>Limit wydatków w 2033r.</t>
  </si>
  <si>
    <t>Limit wydatków w 2034r.</t>
  </si>
  <si>
    <t>Limit wydatków w 2035r.</t>
  </si>
  <si>
    <t>Limit wydatków w 2036r.</t>
  </si>
  <si>
    <t>Limit wydatków w 2037r.</t>
  </si>
  <si>
    <t>Limit wydatków w 2038r.</t>
  </si>
  <si>
    <t>Limit wydatków w 2039r.</t>
  </si>
  <si>
    <t>Limit wydatków w 2040r.</t>
  </si>
  <si>
    <t>Limit wydatków w 2041r.</t>
  </si>
  <si>
    <t>Limit wydatków w 2042r.</t>
  </si>
  <si>
    <t>Limit wydatków w 2043r.</t>
  </si>
  <si>
    <t>Limit wydatków w 2044r.</t>
  </si>
  <si>
    <t>Limit wydatków w 2045r.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</si>
  <si>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</si>
  <si>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</si>
  <si>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</si>
  <si>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</si>
  <si>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</si>
  <si>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</si>
  <si>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</si>
  <si>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</si>
  <si>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</si>
  <si>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Uczenie się przez całe życie Comenius - Partnerskie Projekty Szkół - Współpraca zagraniczna i promocja miasta</t>
  </si>
  <si>
    <t>Szkoła Podstawowa nr 1</t>
  </si>
  <si>
    <t xml:space="preserve"> - wydatki majątkowe </t>
  </si>
  <si>
    <t>Urząd Miasta</t>
  </si>
  <si>
    <t>2) umowy, których realizacja w roku budżetowym i w latach następnych jest niezbędna dla zapewnienia ciągłości działania jednostki i których płatności przypadają w okresie dłuższym niż rok</t>
  </si>
  <si>
    <t>Umowa na obsługę bankową budżetu Miasta - Zapewnienie przepływów finansowych</t>
  </si>
  <si>
    <t>Umowa na utrzymanie serwisu internetowego - Promocja miasta</t>
  </si>
  <si>
    <t>Umowa na konserwację elektronicznego systemu alarmowego w obiekcie Ratusza - Utrzymanie miejskich obiektów administracyjnych</t>
  </si>
  <si>
    <t>Umowa na konserwację elektronicznego systemu alarmowego w oficynie przy Ratuszu - Utrzymanie miejskich obiektów administracyjnych</t>
  </si>
  <si>
    <t>Budowa Miejskiego Centrum Handlowo-Usługowego - Bazar wraz z otoczeniem wraz z finansowaniem inwestycji - Budowa targowiska miejskiego</t>
  </si>
  <si>
    <t>3) Gwarancje i poręczenia udzielane przez jednostki samorządu terytorialnego (razem)</t>
  </si>
  <si>
    <t>Wykaz przedsięwzięć do Wieloletniej Prognozy Finansowej - zbiorczo</t>
  </si>
  <si>
    <t>Łączne limity wydatków</t>
  </si>
  <si>
    <t>Wykonanie 2011</t>
  </si>
  <si>
    <t xml:space="preserve">Program Operacyjny Kapitał Ludzki "Siła tkwi w Tobie - pomożemy Ci ją wydobyć" - Pomoc społeczna </t>
  </si>
  <si>
    <t>MOPS</t>
  </si>
  <si>
    <t>Zbiorczo przedsięwzięcia, programy, projekty i zadania do Wieloletniej Prognozy Finansowej</t>
  </si>
  <si>
    <t>Zbiorczo przedsięwzięcia</t>
  </si>
  <si>
    <t>Rok</t>
  </si>
  <si>
    <t>Zbiorczo</t>
  </si>
  <si>
    <t>Razem</t>
  </si>
  <si>
    <t>wydatki bieżące</t>
  </si>
  <si>
    <t>wydatki majątkowe</t>
  </si>
  <si>
    <t>łączne nakłady finansowe</t>
  </si>
  <si>
    <t>limit zobowiązań</t>
  </si>
  <si>
    <t>3) gwarancje i poręczenia udzielane przez jst (wydatki bieżące)</t>
  </si>
  <si>
    <t>Zbiorczo programy, projekty lub zadania</t>
  </si>
  <si>
    <t>b) programy, projekty lub zadania związane z umowami partnerstwa publiczno-prywatnego; (razem)</t>
  </si>
  <si>
    <t>c) programy, projekty lub zadania pozostałe (inne niż wymienione w lit.a i b) (razem)</t>
  </si>
  <si>
    <t>Umowa – poręczenie Miejskiemu Towarzystwu Budownictwa Społecznego w Gostyninie długoterminowego kredytu na budowę 2 budynków mieszkalnych przy ul. Czapskiego (Mazowieckiej) - Komunalne budownictwo mieszkaniowe</t>
  </si>
  <si>
    <t>Umowa – poręczenie Miejskiemu Towarzystwu Budownictwa Społecznego w Gostyninie długoterminowego kredytu na budowę 4 budynków mieszkalnych przy ul. Zazamcze (Targowa) - Komunalne budownictwo mieszkaniowe</t>
  </si>
  <si>
    <t>Miejski Ośrodek Pomocy Społeczn.</t>
  </si>
  <si>
    <t>Zadłużenie/dochody ogółem - max 60% z art. 170 sufp (bez wyłączeń, z wykupem wierzytelności) (13/1)</t>
  </si>
  <si>
    <t>Zadłużenie/dochody ogółem - max 60% z art. 170 sufp (po uwzględnieniu wyłączeń, z wykupem wierzytelności) (13-14)/1</t>
  </si>
  <si>
    <t>Zadłużenie/dochody ogółem - max 60% z art. 170 sufp (bez wykupu wierzytelności, po uwzględnieniu wyłączeń) (13-13a-14)/1</t>
  </si>
  <si>
    <t>Planowana łączna kwota spłaty zobowiązań/dochody ogółem - max 15% z art. 169 sufp (bez wyłączeń) (7a+7b1+2c)/1</t>
  </si>
  <si>
    <t>Planowana łączna kwota spłaty zobowiązań/dochody ogółem - max 15% z art. 169 sufp (po uwzględnieniu wyłączeń) (7a+7b1+2c-2d-7a1)1</t>
  </si>
  <si>
    <t>Relacja (Db-Wb+Dsm)/Do, o której mowa w art. 243 w danym roku (1a-24+1c)/1</t>
  </si>
  <si>
    <t>Maksymalny dopuszczalny wskaźnik spłaty z art. 243 ufp (średnia 20 z 3 lat)</t>
  </si>
  <si>
    <t>Relacja planowanej łącznej kwoty spłaty zobowiązań do dochodów (po uwzględnieniu wyłączeń) (7a+7b1+2c+15-2d-7a1)/1</t>
  </si>
  <si>
    <t>Umowa dzierżawy na części działki położonej przy ul. Kolejowej z przeznaczeniem pod drogę dojazdową do nieruchomości sąsiednich</t>
  </si>
  <si>
    <t>Miejskie Przedszkole nr 2</t>
  </si>
  <si>
    <t>Projekt  "Wesoły przedszkolak w Miejskim Przedszkolu nr 2 w Gostyninie" w ramach Programu Operacyjnego Kapitał Ludzki - Edukacja publiczna</t>
  </si>
  <si>
    <t>Umowa na świadczenie usług kserograficznych wielkoformatowych w ramach wydawanych decyzji o warunkach zabudowy i zagospodarowania terenu - Utrzymanie ładu przestrzennego</t>
  </si>
  <si>
    <t>Umowa – poręczenie MTBS w Gostyninie długoterminowego kredytu na budowę 4 budynków mieszkalnych przy ul. Zazamcze (Targowa) - Komunalne budownictwo mieszkaniowe</t>
  </si>
  <si>
    <t>Umowa – poręczenie MTBS w Gostyninie długoterminowego kredytu na budowę 2 budynków mieszkalnych przy ul. Czapskiego (Mazowieckiej) - Komunalne budownictwo mieszkaniowe</t>
  </si>
  <si>
    <t>Umowa na świadczenie usługi utrzymania urządzeń oświetleniowych ulic, dróg i innych otwartych terenów publicznych na terenie Miasta - Zaopatrzenie w energię elektryczną</t>
  </si>
  <si>
    <t>Wieloletnia Prognoza Finansowa na lata 2013 -2045</t>
  </si>
  <si>
    <t>Plan III kw. 2012</t>
  </si>
  <si>
    <t>Przew.wyk.2012</t>
  </si>
  <si>
    <t>zmieniającej uchwałę w sprawie Wieloletniej Prognozy Finansowej na lata 2013-2045</t>
  </si>
  <si>
    <t>Umowa na dostęp do internetu - Promocja miasta</t>
  </si>
  <si>
    <t>1aue</t>
  </si>
  <si>
    <t>dochody bieżące, w tym:</t>
  </si>
  <si>
    <t>środki na programy, projekty lub zadania finansowanie z udziałem środków, o których mowa w art.. 5 ust. 1 pkt 2 ustawy, w tym:</t>
  </si>
  <si>
    <t>środki określone w art.. 5 ust. 1 pkt 2 ustawy</t>
  </si>
  <si>
    <t>1due</t>
  </si>
  <si>
    <t>środki określone w art. 5 ust. 1 pkt 2 ustawy</t>
  </si>
  <si>
    <t>2g</t>
  </si>
  <si>
    <t>na pokrycie ujemnego wyniku finansowego samodzielnego publicznego zakładu opieki zdrowotnej</t>
  </si>
  <si>
    <t>2f1</t>
  </si>
  <si>
    <t>finansowanie środkami określonymi w art.. 5 ust. 1 pkt 2 ustawy</t>
  </si>
  <si>
    <t>Nadwyżka budżetowa z lat ubiegłych angażowana w budżecie roku bieżącego</t>
  </si>
  <si>
    <t>4.1</t>
  </si>
  <si>
    <t>4.1a</t>
  </si>
  <si>
    <t>4.2</t>
  </si>
  <si>
    <t>wolne środki, o których mowa w art.. 217 ust.1 pkt 6 ufp, angażowane w budżecie roku bieżącego</t>
  </si>
  <si>
    <t>4.2a</t>
  </si>
  <si>
    <t>rozchody z tytułu spłaty rat kapitałowych oraz wykupu papierów wartościowych, w tym:</t>
  </si>
  <si>
    <t>kwota wyłączeń z art. 243 ust. 3 pkt 1 ufp oraz art. 169 ust. 3 sufp przypadająca na dany rok budżetowy</t>
  </si>
  <si>
    <t>wydatki bieżące na obsługę długu, w tym:</t>
  </si>
  <si>
    <t>odsetki i dyskonto</t>
  </si>
  <si>
    <t>10b1</t>
  </si>
  <si>
    <t>Kwota długu, w tym:</t>
  </si>
  <si>
    <t>dług spłacany wydatkami (zobowiązania wymagalne, umowy zaliczane do kategorii kredytów i pożyczek, itp.)</t>
  </si>
  <si>
    <t>Wartość przejętych zobowiązań, w tym:</t>
  </si>
  <si>
    <t xml:space="preserve">od samodzielnych publicznych zakładów opieki zdrowotnej </t>
  </si>
  <si>
    <t>17b</t>
  </si>
  <si>
    <t>Kwoty ujęte w prognozie dochodów, wydatków i długu związane ze spłatą zobowiązań spzoz</t>
  </si>
  <si>
    <t>17c</t>
  </si>
  <si>
    <t>Dochody budżetowe z tytułu dotacji celowej z budżetu państwa, o której mowa w art. 196 ustawy o działalności leczniczej</t>
  </si>
  <si>
    <t>17d</t>
  </si>
  <si>
    <t>Wysokość zobowiązań podlegających umorzeniu, o którym mowa w art. 190 ustawy o działalności leczniczej</t>
  </si>
  <si>
    <t>17e1</t>
  </si>
  <si>
    <t>17e2</t>
  </si>
  <si>
    <t>Wydatki na spłatę przejętych zobowiązań spzoz likwidowanego na zasadach określonych w przepisach o działalności leczniczej</t>
  </si>
  <si>
    <t>Wydatki na spłatę przejętych zobowiązań spzoz przekształcone-go na zasadach określonych w przepisach o działalności leczniczej, w tym:</t>
  </si>
  <si>
    <t>17e2.1</t>
  </si>
  <si>
    <t>na spłatę przejętych zobowiązań spzoz przekształconego na zasadach określonych w przepisach o działalności leczniczej, w wysokości, w jakiej nie podlegają sfinansowaniu dotacją z budżetu państwa</t>
  </si>
  <si>
    <t>20b</t>
  </si>
  <si>
    <t>Maksymalny dopuszczalny wskaźnik spłaty z art. 243 ufp (średnia 20 z 3 lat) (z wykonaniem za rok N-1)</t>
  </si>
  <si>
    <t>Relacja planowanej łącznej kwoty spłaty zobowiązań do dochodów (ze związkiem oraz bez wyłączeń) (7a+7b1+2c+15)/1</t>
  </si>
  <si>
    <t>21b</t>
  </si>
  <si>
    <t>22b</t>
  </si>
  <si>
    <t xml:space="preserve"> - 11 -</t>
  </si>
  <si>
    <t xml:space="preserve"> - 13 -</t>
  </si>
  <si>
    <t xml:space="preserve"> - 14 -</t>
  </si>
  <si>
    <t xml:space="preserve"> - 15 -</t>
  </si>
  <si>
    <t xml:space="preserve"> - 16 -</t>
  </si>
  <si>
    <t xml:space="preserve"> - 17 -</t>
  </si>
  <si>
    <t xml:space="preserve"> - 18 -</t>
  </si>
  <si>
    <t>Środki do dyspozycji (3+4.1+4.2+5)</t>
  </si>
  <si>
    <t>Dochody ogółem, z tego: (1a+1b)</t>
  </si>
  <si>
    <t>Spłata i obsługa długu, z tego: (7a+7b)</t>
  </si>
  <si>
    <t>Spełnienie wskaźnika spłaty z art. 243 ufp po uwzględnieniu art. 244 ufp (bez wyłączeń) (planistycznego) (21&lt;=20a)</t>
  </si>
  <si>
    <t>Spełnienie wskaźnika spłaty z art. 243 ufp po uwzględnieniu art. 244 ufp (bez wyłączeń) (z wykonaniem za rok N-1) (21&lt;=20b)</t>
  </si>
  <si>
    <t>Spełnienie wskaźnika spłaty z art. 243 ufp po uwzględnieniu art. 244 ufp (po uwzględnieniu wyłączeń) (planistycznego) (22&lt;=20a)</t>
  </si>
  <si>
    <t>Spełnienie wskaźnika spłaty z art. 243 ufp po uwzględnieniu art. 244 ufp (po uwzględnieniu wyłączeń) (z wykonaniem za rok N-1) (22&lt;=20b)</t>
  </si>
  <si>
    <t>Dochody bieżące - wydatki bieżące (23-24)</t>
  </si>
  <si>
    <t>Wydatki ogółem (10+24)</t>
  </si>
  <si>
    <t>Wynik budżetu (26-27)</t>
  </si>
  <si>
    <t>Przychody budżetu (4.1+4.2+5+11)</t>
  </si>
  <si>
    <r>
      <t xml:space="preserve">Załącznik nr 1 do uchwały nr </t>
    </r>
    <r>
      <rPr>
        <b/>
        <sz val="9"/>
        <rFont val="Arial"/>
        <family val="2"/>
        <charset val="238"/>
      </rPr>
      <t>167/XXXI/2012</t>
    </r>
    <r>
      <rPr>
        <sz val="9"/>
        <rFont val="Arial"/>
        <family val="2"/>
        <charset val="238"/>
      </rPr>
      <t xml:space="preserve"> Rady Miejskiej w Gostyninie z dnia </t>
    </r>
    <r>
      <rPr>
        <b/>
        <sz val="9"/>
        <rFont val="Arial"/>
        <family val="2"/>
        <charset val="238"/>
      </rPr>
      <t>28 grudnia 2012 roku</t>
    </r>
  </si>
  <si>
    <r>
      <t xml:space="preserve">Załącznik nr 2 do uchwały nr </t>
    </r>
    <r>
      <rPr>
        <b/>
        <sz val="9"/>
        <rFont val="Arial"/>
        <family val="2"/>
        <charset val="238"/>
      </rPr>
      <t>167/XXXI/2012</t>
    </r>
    <r>
      <rPr>
        <sz val="9"/>
        <rFont val="Arial"/>
        <family val="2"/>
        <charset val="238"/>
      </rPr>
      <t xml:space="preserve"> Rady Miejskiej w Gostyninie z dnia </t>
    </r>
    <r>
      <rPr>
        <b/>
        <sz val="9"/>
        <rFont val="Arial"/>
        <family val="2"/>
        <charset val="238"/>
      </rPr>
      <t>28 grudnia 2012 roku</t>
    </r>
  </si>
  <si>
    <r>
      <t xml:space="preserve">Załącznik nr 3 do uchwały nr </t>
    </r>
    <r>
      <rPr>
        <b/>
        <sz val="9"/>
        <rFont val="Arial"/>
        <family val="2"/>
        <charset val="238"/>
      </rPr>
      <t>167/XXXI/2012</t>
    </r>
    <r>
      <rPr>
        <sz val="9"/>
        <rFont val="Arial"/>
        <family val="2"/>
        <charset val="238"/>
      </rPr>
      <t xml:space="preserve"> Rady Miejskiej w Gostyninie z dnia </t>
    </r>
    <r>
      <rPr>
        <b/>
        <sz val="9"/>
        <rFont val="Arial"/>
        <family val="2"/>
        <charset val="238"/>
      </rPr>
      <t>28 grudnia 2012 roku</t>
    </r>
  </si>
  <si>
    <r>
      <t xml:space="preserve">Załącznik nr 4 do uchwały nr </t>
    </r>
    <r>
      <rPr>
        <b/>
        <sz val="9"/>
        <rFont val="Arial"/>
        <family val="2"/>
        <charset val="238"/>
      </rPr>
      <t>167/XXXI/2012</t>
    </r>
    <r>
      <rPr>
        <sz val="9"/>
        <rFont val="Arial"/>
        <family val="2"/>
        <charset val="238"/>
      </rPr>
      <t xml:space="preserve"> Rady Miejskiej w Gostyninie z dnia </t>
    </r>
    <r>
      <rPr>
        <b/>
        <sz val="9"/>
        <rFont val="Arial"/>
        <family val="2"/>
        <charset val="238"/>
      </rPr>
      <t>28 grudnia 2012 roku</t>
    </r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</si>
</sst>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2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12">
    <xf numFmtId="0" fontId="0" fillId="0" borderId="0" xfId="0"/>
    <xf numFmtId="0" fontId="3" fillId="0" borderId="1" xfId="5" applyFont="1" applyBorder="1" applyAlignment="1">
      <alignment vertical="center" wrapText="1"/>
    </xf>
    <xf numFmtId="0" fontId="3" fillId="0" borderId="1" xfId="5" quotePrefix="1" applyFont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49" fontId="4" fillId="2" borderId="2" xfId="5" applyNumberFormat="1" applyFont="1" applyFill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3" borderId="4" xfId="5" applyFont="1" applyFill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49" fontId="4" fillId="2" borderId="7" xfId="5" applyNumberFormat="1" applyFont="1" applyFill="1" applyBorder="1" applyAlignment="1">
      <alignment horizontal="center"/>
    </xf>
    <xf numFmtId="49" fontId="4" fillId="2" borderId="8" xfId="5" applyNumberFormat="1" applyFont="1" applyFill="1" applyBorder="1" applyAlignment="1">
      <alignment horizontal="center"/>
    </xf>
    <xf numFmtId="0" fontId="3" fillId="4" borderId="1" xfId="5" applyFont="1" applyFill="1" applyBorder="1" applyAlignment="1">
      <alignment vertical="center" wrapText="1"/>
    </xf>
    <xf numFmtId="49" fontId="4" fillId="2" borderId="9" xfId="5" applyNumberFormat="1" applyFont="1" applyFill="1" applyBorder="1" applyAlignment="1">
      <alignment horizontal="center"/>
    </xf>
    <xf numFmtId="164" fontId="3" fillId="5" borderId="3" xfId="5" applyNumberFormat="1" applyFont="1" applyFill="1" applyBorder="1" applyAlignment="1" applyProtection="1">
      <alignment vertical="center"/>
      <protection locked="0"/>
    </xf>
    <xf numFmtId="164" fontId="3" fillId="5" borderId="10" xfId="5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3" borderId="1" xfId="5" applyFont="1" applyFill="1" applyBorder="1" applyAlignment="1">
      <alignment vertical="center" wrapText="1"/>
    </xf>
    <xf numFmtId="0" fontId="4" fillId="0" borderId="1" xfId="5" applyFont="1" applyBorder="1" applyAlignment="1">
      <alignment vertical="center" wrapText="1"/>
    </xf>
    <xf numFmtId="0" fontId="4" fillId="4" borderId="1" xfId="5" applyFont="1" applyFill="1" applyBorder="1" applyAlignment="1">
      <alignment vertical="center" wrapText="1"/>
    </xf>
    <xf numFmtId="49" fontId="4" fillId="2" borderId="12" xfId="5" applyNumberFormat="1" applyFont="1" applyFill="1" applyBorder="1" applyAlignment="1">
      <alignment vertical="center" wrapText="1"/>
    </xf>
    <xf numFmtId="0" fontId="4" fillId="2" borderId="13" xfId="5" applyFont="1" applyFill="1" applyBorder="1" applyAlignment="1">
      <alignment vertical="center" wrapText="1"/>
    </xf>
    <xf numFmtId="0" fontId="9" fillId="3" borderId="1" xfId="5" applyFont="1" applyFill="1" applyBorder="1" applyAlignment="1">
      <alignment vertical="center" wrapText="1"/>
    </xf>
    <xf numFmtId="0" fontId="9" fillId="3" borderId="14" xfId="5" applyFont="1" applyFill="1" applyBorder="1" applyAlignment="1">
      <alignment vertical="center" wrapText="1"/>
    </xf>
    <xf numFmtId="0" fontId="4" fillId="4" borderId="13" xfId="5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165" fontId="14" fillId="0" borderId="15" xfId="5" applyNumberFormat="1" applyFont="1" applyFill="1" applyBorder="1" applyAlignment="1" applyProtection="1">
      <alignment vertical="center"/>
      <protection locked="0"/>
    </xf>
    <xf numFmtId="165" fontId="13" fillId="0" borderId="16" xfId="5" applyNumberFormat="1" applyFont="1" applyFill="1" applyBorder="1" applyAlignment="1" applyProtection="1">
      <alignment vertical="center"/>
      <protection locked="0"/>
    </xf>
    <xf numFmtId="165" fontId="13" fillId="0" borderId="17" xfId="5" applyNumberFormat="1" applyFont="1" applyFill="1" applyBorder="1" applyAlignment="1" applyProtection="1">
      <alignment vertical="center"/>
      <protection locked="0"/>
    </xf>
    <xf numFmtId="0" fontId="13" fillId="0" borderId="16" xfId="5" applyFont="1" applyFill="1" applyBorder="1" applyAlignment="1">
      <alignment horizontal="left" vertical="center" wrapText="1" indent="2"/>
    </xf>
    <xf numFmtId="165" fontId="14" fillId="0" borderId="11" xfId="5" applyNumberFormat="1" applyFont="1" applyFill="1" applyBorder="1" applyAlignment="1" applyProtection="1">
      <alignment vertical="center"/>
      <protection locked="0"/>
    </xf>
    <xf numFmtId="0" fontId="13" fillId="0" borderId="16" xfId="5" applyFont="1" applyFill="1" applyBorder="1" applyAlignment="1">
      <alignment horizontal="left" vertical="center" wrapText="1" indent="1"/>
    </xf>
    <xf numFmtId="0" fontId="14" fillId="0" borderId="11" xfId="5" applyFont="1" applyFill="1" applyBorder="1" applyAlignment="1">
      <alignment vertical="center" wrapText="1"/>
    </xf>
    <xf numFmtId="165" fontId="14" fillId="0" borderId="15" xfId="5" applyNumberFormat="1" applyFont="1" applyFill="1" applyBorder="1" applyAlignment="1">
      <alignment vertical="center"/>
    </xf>
    <xf numFmtId="165" fontId="13" fillId="0" borderId="17" xfId="5" applyNumberFormat="1" applyFont="1" applyFill="1" applyBorder="1" applyAlignment="1">
      <alignment vertical="center"/>
    </xf>
    <xf numFmtId="165" fontId="14" fillId="0" borderId="15" xfId="5" applyNumberFormat="1" applyFont="1" applyFill="1" applyBorder="1" applyAlignment="1">
      <alignment vertical="center" wrapText="1"/>
    </xf>
    <xf numFmtId="0" fontId="14" fillId="0" borderId="11" xfId="5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vertical="center" wrapText="1"/>
    </xf>
    <xf numFmtId="0" fontId="13" fillId="0" borderId="17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left" vertical="center" wrapText="1" indent="1"/>
    </xf>
    <xf numFmtId="0" fontId="13" fillId="0" borderId="15" xfId="5" applyFont="1" applyFill="1" applyBorder="1" applyAlignment="1">
      <alignment horizontal="center" vertical="center"/>
    </xf>
    <xf numFmtId="10" fontId="13" fillId="0" borderId="15" xfId="7" applyNumberFormat="1" applyFont="1" applyFill="1" applyBorder="1" applyAlignment="1">
      <alignment vertical="center"/>
    </xf>
    <xf numFmtId="0" fontId="13" fillId="0" borderId="16" xfId="5" applyFont="1" applyFill="1" applyBorder="1" applyAlignment="1">
      <alignment horizontal="center" vertical="center"/>
    </xf>
    <xf numFmtId="10" fontId="13" fillId="0" borderId="16" xfId="7" applyNumberFormat="1" applyFont="1" applyFill="1" applyBorder="1" applyAlignment="1">
      <alignment vertical="center"/>
    </xf>
    <xf numFmtId="0" fontId="13" fillId="0" borderId="16" xfId="5" applyFont="1" applyFill="1" applyBorder="1" applyAlignment="1">
      <alignment vertical="center" wrapText="1"/>
    </xf>
    <xf numFmtId="0" fontId="13" fillId="0" borderId="17" xfId="5" applyFont="1" applyFill="1" applyBorder="1" applyAlignment="1">
      <alignment horizontal="left" vertical="center" wrapText="1"/>
    </xf>
    <xf numFmtId="0" fontId="14" fillId="0" borderId="16" xfId="5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top" wrapText="1" indent="2"/>
    </xf>
    <xf numFmtId="165" fontId="14" fillId="0" borderId="17" xfId="5" applyNumberFormat="1" applyFont="1" applyFill="1" applyBorder="1" applyAlignment="1" applyProtection="1">
      <alignment vertical="center"/>
      <protection locked="0"/>
    </xf>
    <xf numFmtId="165" fontId="14" fillId="0" borderId="17" xfId="5" applyNumberFormat="1" applyFont="1" applyFill="1" applyBorder="1" applyAlignment="1">
      <alignment vertical="center"/>
    </xf>
    <xf numFmtId="0" fontId="17" fillId="0" borderId="0" xfId="0" applyFont="1" applyFill="1"/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top" wrapText="1" inden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top" wrapText="1" indent="1"/>
    </xf>
    <xf numFmtId="165" fontId="14" fillId="0" borderId="16" xfId="5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49" fontId="14" fillId="0" borderId="11" xfId="5" applyNumberFormat="1" applyFont="1" applyFill="1" applyBorder="1" applyAlignment="1">
      <alignment horizontal="center" vertical="center"/>
    </xf>
    <xf numFmtId="49" fontId="14" fillId="0" borderId="11" xfId="5" applyNumberFormat="1" applyFont="1" applyFill="1" applyBorder="1" applyAlignment="1">
      <alignment horizontal="center" vertical="center" wrapText="1"/>
    </xf>
    <xf numFmtId="49" fontId="14" fillId="0" borderId="11" xfId="5" applyNumberFormat="1" applyFont="1" applyFill="1" applyBorder="1" applyAlignment="1">
      <alignment horizontal="center"/>
    </xf>
    <xf numFmtId="0" fontId="13" fillId="0" borderId="16" xfId="5" quotePrefix="1" applyFont="1" applyFill="1" applyBorder="1" applyAlignment="1">
      <alignment horizontal="left" vertical="center" wrapText="1" indent="1"/>
    </xf>
    <xf numFmtId="0" fontId="13" fillId="0" borderId="17" xfId="5" applyFont="1" applyFill="1" applyBorder="1" applyAlignment="1">
      <alignment horizontal="left" vertical="center" wrapText="1" indent="2"/>
    </xf>
    <xf numFmtId="165" fontId="14" fillId="0" borderId="11" xfId="5" applyNumberFormat="1" applyFont="1" applyFill="1" applyBorder="1" applyAlignment="1">
      <alignment vertical="center"/>
    </xf>
    <xf numFmtId="0" fontId="13" fillId="0" borderId="15" xfId="5" applyFont="1" applyFill="1" applyBorder="1" applyAlignment="1">
      <alignment vertical="center" wrapText="1"/>
    </xf>
    <xf numFmtId="0" fontId="14" fillId="0" borderId="16" xfId="5" applyFont="1" applyFill="1" applyBorder="1" applyAlignment="1">
      <alignment vertical="center" wrapText="1"/>
    </xf>
    <xf numFmtId="0" fontId="14" fillId="0" borderId="16" xfId="6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4" fillId="0" borderId="17" xfId="6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top" wrapText="1" indent="1"/>
    </xf>
    <xf numFmtId="165" fontId="14" fillId="0" borderId="18" xfId="5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top" wrapText="1" indent="1"/>
    </xf>
    <xf numFmtId="0" fontId="16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16" fillId="0" borderId="0" xfId="0" applyFont="1" applyBorder="1"/>
    <xf numFmtId="3" fontId="16" fillId="0" borderId="0" xfId="0" applyNumberFormat="1" applyFont="1"/>
    <xf numFmtId="4" fontId="16" fillId="0" borderId="0" xfId="0" applyNumberFormat="1" applyFont="1"/>
    <xf numFmtId="0" fontId="19" fillId="0" borderId="0" xfId="0" applyFont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14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Border="1"/>
    <xf numFmtId="0" fontId="21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21" fillId="0" borderId="0" xfId="0" applyFont="1" applyFill="1"/>
    <xf numFmtId="0" fontId="19" fillId="0" borderId="0" xfId="0" applyFont="1"/>
    <xf numFmtId="0" fontId="14" fillId="0" borderId="25" xfId="0" applyFont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19" fillId="0" borderId="2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/>
    <xf numFmtId="0" fontId="13" fillId="0" borderId="0" xfId="0" applyFont="1"/>
    <xf numFmtId="0" fontId="13" fillId="0" borderId="11" xfId="0" applyFont="1" applyBorder="1"/>
    <xf numFmtId="0" fontId="11" fillId="0" borderId="0" xfId="0" applyFont="1" applyFill="1"/>
    <xf numFmtId="0" fontId="21" fillId="0" borderId="20" xfId="0" applyFont="1" applyBorder="1" applyAlignment="1">
      <alignment vertical="center"/>
    </xf>
    <xf numFmtId="0" fontId="21" fillId="0" borderId="0" xfId="0" applyFont="1" applyAlignment="1"/>
    <xf numFmtId="0" fontId="21" fillId="0" borderId="0" xfId="0" applyFont="1" applyBorder="1" applyAlignment="1"/>
    <xf numFmtId="3" fontId="13" fillId="0" borderId="29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/>
    <xf numFmtId="165" fontId="17" fillId="0" borderId="0" xfId="0" applyNumberFormat="1" applyFont="1" applyFill="1"/>
    <xf numFmtId="3" fontId="13" fillId="0" borderId="25" xfId="0" applyNumberFormat="1" applyFont="1" applyFill="1" applyBorder="1" applyAlignment="1">
      <alignment horizontal="right" vertical="center"/>
    </xf>
    <xf numFmtId="0" fontId="13" fillId="0" borderId="63" xfId="0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horizontal="right" vertical="center"/>
    </xf>
    <xf numFmtId="0" fontId="21" fillId="0" borderId="20" xfId="0" applyFont="1" applyBorder="1" applyAlignment="1"/>
    <xf numFmtId="165" fontId="14" fillId="0" borderId="11" xfId="5" applyNumberFormat="1" applyFont="1" applyFill="1" applyBorder="1" applyAlignment="1" applyProtection="1">
      <alignment vertical="center"/>
    </xf>
    <xf numFmtId="3" fontId="14" fillId="7" borderId="28" xfId="0" applyNumberFormat="1" applyFont="1" applyFill="1" applyBorder="1" applyAlignment="1">
      <alignment horizontal="right" vertical="center" wrapText="1"/>
    </xf>
    <xf numFmtId="3" fontId="14" fillId="7" borderId="55" xfId="0" applyNumberFormat="1" applyFont="1" applyFill="1" applyBorder="1" applyAlignment="1">
      <alignment horizontal="right" vertical="center" wrapText="1"/>
    </xf>
    <xf numFmtId="3" fontId="14" fillId="7" borderId="25" xfId="0" applyNumberFormat="1" applyFont="1" applyFill="1" applyBorder="1" applyAlignment="1">
      <alignment horizontal="right" vertical="center" wrapText="1"/>
    </xf>
    <xf numFmtId="3" fontId="14" fillId="7" borderId="29" xfId="0" applyNumberFormat="1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0" fontId="13" fillId="0" borderId="61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60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0" fontId="13" fillId="0" borderId="59" xfId="0" applyFont="1" applyFill="1" applyBorder="1" applyAlignment="1">
      <alignment vertical="center" wrapText="1"/>
    </xf>
    <xf numFmtId="3" fontId="13" fillId="0" borderId="55" xfId="0" applyNumberFormat="1" applyFont="1" applyFill="1" applyBorder="1" applyAlignment="1">
      <alignment horizontal="right" vertical="center" wrapText="1"/>
    </xf>
    <xf numFmtId="3" fontId="13" fillId="0" borderId="3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0" fontId="13" fillId="0" borderId="48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0" fontId="13" fillId="0" borderId="62" xfId="0" applyFont="1" applyFill="1" applyBorder="1" applyAlignment="1">
      <alignment vertical="center" wrapText="1"/>
    </xf>
    <xf numFmtId="3" fontId="13" fillId="0" borderId="56" xfId="0" applyNumberFormat="1" applyFont="1" applyFill="1" applyBorder="1" applyAlignment="1">
      <alignment horizontal="right" vertical="center" wrapText="1"/>
    </xf>
    <xf numFmtId="3" fontId="14" fillId="7" borderId="28" xfId="0" applyNumberFormat="1" applyFont="1" applyFill="1" applyBorder="1" applyAlignment="1">
      <alignment horizontal="right" vertical="center"/>
    </xf>
    <xf numFmtId="3" fontId="14" fillId="7" borderId="55" xfId="0" applyNumberFormat="1" applyFont="1" applyFill="1" applyBorder="1" applyAlignment="1">
      <alignment horizontal="right" vertical="center"/>
    </xf>
    <xf numFmtId="0" fontId="14" fillId="7" borderId="36" xfId="0" applyFont="1" applyFill="1" applyBorder="1" applyAlignment="1">
      <alignment vertical="center"/>
    </xf>
    <xf numFmtId="0" fontId="14" fillId="7" borderId="63" xfId="0" applyFont="1" applyFill="1" applyBorder="1" applyAlignment="1">
      <alignment vertical="center"/>
    </xf>
    <xf numFmtId="3" fontId="14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12" fillId="7" borderId="63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4" fillId="7" borderId="63" xfId="0" applyFont="1" applyFill="1" applyBorder="1" applyAlignment="1">
      <alignment vertical="center" wrapText="1"/>
    </xf>
    <xf numFmtId="0" fontId="14" fillId="7" borderId="65" xfId="0" applyFont="1" applyFill="1" applyBorder="1" applyAlignment="1">
      <alignment vertical="center"/>
    </xf>
    <xf numFmtId="0" fontId="14" fillId="7" borderId="64" xfId="0" applyFont="1" applyFill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0" fontId="14" fillId="7" borderId="66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4" fillId="7" borderId="25" xfId="0" applyFont="1" applyFill="1" applyBorder="1" applyAlignment="1">
      <alignment vertical="center"/>
    </xf>
    <xf numFmtId="0" fontId="14" fillId="7" borderId="66" xfId="0" applyFont="1" applyFill="1" applyBorder="1" applyAlignment="1">
      <alignment vertical="center" wrapText="1"/>
    </xf>
    <xf numFmtId="0" fontId="14" fillId="7" borderId="25" xfId="0" applyFont="1" applyFill="1" applyBorder="1" applyAlignment="1">
      <alignment vertical="center" wrapText="1"/>
    </xf>
    <xf numFmtId="0" fontId="12" fillId="7" borderId="66" xfId="0" applyFont="1" applyFill="1" applyBorder="1" applyAlignment="1">
      <alignment vertical="center" wrapText="1"/>
    </xf>
    <xf numFmtId="0" fontId="12" fillId="7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 wrapText="1"/>
    </xf>
    <xf numFmtId="3" fontId="14" fillId="7" borderId="67" xfId="0" applyNumberFormat="1" applyFont="1" applyFill="1" applyBorder="1" applyAlignment="1">
      <alignment horizontal="right" vertical="center" wrapText="1"/>
    </xf>
    <xf numFmtId="3" fontId="13" fillId="0" borderId="34" xfId="0" applyNumberFormat="1" applyFont="1" applyFill="1" applyBorder="1" applyAlignment="1">
      <alignment horizontal="right" vertical="center"/>
    </xf>
    <xf numFmtId="3" fontId="14" fillId="7" borderId="34" xfId="0" applyNumberFormat="1" applyFont="1" applyFill="1" applyBorder="1" applyAlignment="1">
      <alignment horizontal="right" vertical="center" wrapText="1"/>
    </xf>
    <xf numFmtId="0" fontId="14" fillId="7" borderId="68" xfId="0" applyFont="1" applyFill="1" applyBorder="1" applyAlignment="1">
      <alignment vertical="center"/>
    </xf>
    <xf numFmtId="0" fontId="13" fillId="0" borderId="69" xfId="0" applyFont="1" applyFill="1" applyBorder="1" applyAlignment="1">
      <alignment vertical="center"/>
    </xf>
    <xf numFmtId="0" fontId="14" fillId="7" borderId="69" xfId="0" applyFont="1" applyFill="1" applyBorder="1" applyAlignment="1">
      <alignment vertical="center"/>
    </xf>
    <xf numFmtId="0" fontId="14" fillId="7" borderId="69" xfId="0" applyFont="1" applyFill="1" applyBorder="1" applyAlignment="1">
      <alignment vertical="center" wrapText="1"/>
    </xf>
    <xf numFmtId="0" fontId="12" fillId="7" borderId="69" xfId="0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horizontal="right" vertical="center" wrapText="1"/>
    </xf>
    <xf numFmtId="3" fontId="13" fillId="0" borderId="27" xfId="0" applyNumberFormat="1" applyFont="1" applyFill="1" applyBorder="1" applyAlignment="1">
      <alignment vertical="center"/>
    </xf>
    <xf numFmtId="3" fontId="14" fillId="7" borderId="27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3" fontId="12" fillId="0" borderId="0" xfId="0" applyNumberFormat="1" applyFont="1" applyAlignment="1">
      <alignment vertical="center"/>
    </xf>
    <xf numFmtId="3" fontId="13" fillId="0" borderId="67" xfId="0" applyNumberFormat="1" applyFont="1" applyFill="1" applyBorder="1" applyAlignment="1">
      <alignment vertical="center"/>
    </xf>
    <xf numFmtId="3" fontId="14" fillId="7" borderId="67" xfId="0" applyNumberFormat="1" applyFont="1" applyFill="1" applyBorder="1" applyAlignment="1">
      <alignment horizontal="right" vertical="center"/>
    </xf>
    <xf numFmtId="3" fontId="13" fillId="0" borderId="70" xfId="0" applyNumberFormat="1" applyFont="1" applyFill="1" applyBorder="1" applyAlignment="1">
      <alignment vertical="center"/>
    </xf>
    <xf numFmtId="3" fontId="14" fillId="7" borderId="72" xfId="0" applyNumberFormat="1" applyFont="1" applyFill="1" applyBorder="1" applyAlignment="1">
      <alignment horizontal="right" vertical="center" wrapText="1"/>
    </xf>
    <xf numFmtId="0" fontId="13" fillId="0" borderId="73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right" vertical="center"/>
    </xf>
    <xf numFmtId="3" fontId="13" fillId="0" borderId="74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vertical="center"/>
    </xf>
    <xf numFmtId="3" fontId="13" fillId="0" borderId="75" xfId="0" applyNumberFormat="1" applyFont="1" applyFill="1" applyBorder="1" applyAlignment="1">
      <alignment vertical="center"/>
    </xf>
    <xf numFmtId="3" fontId="13" fillId="0" borderId="74" xfId="0" applyNumberFormat="1" applyFont="1" applyFill="1" applyBorder="1" applyAlignment="1">
      <alignment horizontal="right" vertical="center"/>
    </xf>
    <xf numFmtId="0" fontId="13" fillId="0" borderId="76" xfId="0" applyFont="1" applyFill="1" applyBorder="1" applyAlignment="1">
      <alignment vertical="center" wrapText="1"/>
    </xf>
    <xf numFmtId="3" fontId="13" fillId="0" borderId="77" xfId="0" applyNumberFormat="1" applyFont="1" applyFill="1" applyBorder="1" applyAlignment="1">
      <alignment vertical="center"/>
    </xf>
    <xf numFmtId="3" fontId="13" fillId="0" borderId="74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>
      <alignment horizontal="right" vertical="center" wrapText="1"/>
    </xf>
    <xf numFmtId="3" fontId="13" fillId="0" borderId="77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/>
    <xf numFmtId="4" fontId="21" fillId="0" borderId="0" xfId="0" applyNumberFormat="1" applyFont="1" applyBorder="1"/>
    <xf numFmtId="4" fontId="23" fillId="0" borderId="0" xfId="0" applyNumberFormat="1" applyFont="1" applyBorder="1"/>
    <xf numFmtId="0" fontId="13" fillId="0" borderId="78" xfId="5" applyFont="1" applyFill="1" applyBorder="1" applyAlignment="1">
      <alignment horizontal="center" vertical="center"/>
    </xf>
    <xf numFmtId="165" fontId="13" fillId="0" borderId="78" xfId="5" applyNumberFormat="1" applyFont="1" applyFill="1" applyBorder="1" applyAlignment="1" applyProtection="1">
      <alignment vertical="center"/>
      <protection locked="0"/>
    </xf>
    <xf numFmtId="0" fontId="13" fillId="0" borderId="40" xfId="5" applyFont="1" applyFill="1" applyBorder="1" applyAlignment="1">
      <alignment horizontal="left" vertical="center" wrapText="1" indent="1"/>
    </xf>
    <xf numFmtId="0" fontId="13" fillId="0" borderId="78" xfId="5" applyFont="1" applyFill="1" applyBorder="1" applyAlignment="1">
      <alignment horizontal="left" vertical="center" wrapText="1" indent="1"/>
    </xf>
    <xf numFmtId="165" fontId="13" fillId="0" borderId="78" xfId="5" applyNumberFormat="1" applyFont="1" applyFill="1" applyBorder="1" applyAlignment="1">
      <alignment vertical="center"/>
    </xf>
    <xf numFmtId="165" fontId="13" fillId="0" borderId="40" xfId="5" applyNumberFormat="1" applyFont="1" applyFill="1" applyBorder="1" applyAlignment="1">
      <alignment vertical="center"/>
    </xf>
    <xf numFmtId="165" fontId="13" fillId="0" borderId="16" xfId="5" applyNumberFormat="1" applyFont="1" applyFill="1" applyBorder="1" applyAlignment="1">
      <alignment vertical="center"/>
    </xf>
    <xf numFmtId="49" fontId="13" fillId="0" borderId="16" xfId="5" applyNumberFormat="1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vertical="top" wrapText="1"/>
    </xf>
    <xf numFmtId="0" fontId="14" fillId="0" borderId="78" xfId="6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vertical="center" wrapText="1"/>
    </xf>
    <xf numFmtId="10" fontId="13" fillId="0" borderId="0" xfId="7" applyNumberFormat="1" applyFont="1" applyFill="1" applyBorder="1" applyAlignment="1">
      <alignment vertical="center"/>
    </xf>
    <xf numFmtId="0" fontId="14" fillId="0" borderId="78" xfId="5" applyFont="1" applyFill="1" applyBorder="1" applyAlignment="1">
      <alignment horizontal="center" vertical="center"/>
    </xf>
    <xf numFmtId="0" fontId="14" fillId="0" borderId="78" xfId="5" applyFont="1" applyFill="1" applyBorder="1" applyAlignment="1">
      <alignment horizontal="left" vertical="center" wrapText="1" indent="1"/>
    </xf>
    <xf numFmtId="165" fontId="14" fillId="0" borderId="78" xfId="5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10" fontId="13" fillId="0" borderId="16" xfId="7" applyNumberFormat="1" applyFont="1" applyFill="1" applyBorder="1" applyAlignment="1">
      <alignment horizontal="right" vertical="center"/>
    </xf>
    <xf numFmtId="3" fontId="14" fillId="7" borderId="7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3" fontId="12" fillId="0" borderId="0" xfId="0" applyNumberFormat="1" applyFont="1" applyBorder="1" applyAlignment="1">
      <alignment vertical="center"/>
    </xf>
    <xf numFmtId="4" fontId="28" fillId="0" borderId="0" xfId="0" applyNumberFormat="1" applyFont="1" applyBorder="1"/>
    <xf numFmtId="0" fontId="13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21" fillId="0" borderId="0" xfId="0" applyFont="1" applyBorder="1" applyAlignment="1"/>
    <xf numFmtId="0" fontId="13" fillId="0" borderId="19" xfId="5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/>
    <xf numFmtId="0" fontId="13" fillId="0" borderId="0" xfId="0" applyFont="1" applyFill="1" applyAlignment="1">
      <alignment horizontal="center"/>
    </xf>
    <xf numFmtId="0" fontId="17" fillId="0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9" xfId="0" applyFont="1" applyFill="1" applyBorder="1" applyAlignment="1">
      <alignment vertical="center"/>
    </xf>
    <xf numFmtId="0" fontId="17" fillId="0" borderId="19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/>
    <xf numFmtId="0" fontId="0" fillId="0" borderId="20" xfId="0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 wrapText="1"/>
    </xf>
    <xf numFmtId="2" fontId="20" fillId="0" borderId="52" xfId="0" applyNumberFormat="1" applyFont="1" applyBorder="1" applyAlignment="1">
      <alignment horizontal="center" vertical="center" wrapText="1"/>
    </xf>
    <xf numFmtId="2" fontId="20" fillId="0" borderId="53" xfId="0" applyNumberFormat="1" applyFont="1" applyBorder="1" applyAlignment="1">
      <alignment horizontal="center" vertical="center" wrapText="1"/>
    </xf>
    <xf numFmtId="2" fontId="20" fillId="0" borderId="54" xfId="0" applyNumberFormat="1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71" xfId="0" applyNumberFormat="1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2" fontId="20" fillId="0" borderId="51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4" fillId="0" borderId="53" xfId="9" applyNumberFormat="1" applyFont="1" applyFill="1" applyBorder="1" applyAlignment="1" applyProtection="1">
      <alignment horizontal="center" vertical="center" wrapText="1"/>
    </xf>
    <xf numFmtId="0" fontId="14" fillId="0" borderId="54" xfId="9" applyNumberFormat="1" applyFont="1" applyFill="1" applyBorder="1" applyAlignment="1" applyProtection="1">
      <alignment horizontal="center" vertical="center" wrapText="1"/>
    </xf>
    <xf numFmtId="0" fontId="13" fillId="0" borderId="6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4" fillId="7" borderId="59" xfId="0" applyFont="1" applyFill="1" applyBorder="1" applyAlignment="1">
      <alignment vertical="center" wrapText="1"/>
    </xf>
    <xf numFmtId="0" fontId="14" fillId="7" borderId="33" xfId="0" applyFont="1" applyFill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24" xfId="9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0" fontId="21" fillId="0" borderId="19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49" fontId="13" fillId="6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>
      <alignment vertical="center"/>
    </xf>
    <xf numFmtId="49" fontId="13" fillId="6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6" borderId="45" xfId="0" applyNumberFormat="1" applyFont="1" applyFill="1" applyBorder="1" applyAlignment="1" applyProtection="1">
      <alignment horizontal="center" vertical="center" wrapText="1"/>
      <protection locked="0"/>
    </xf>
    <xf numFmtId="49" fontId="13" fillId="6" borderId="46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Hiperłącze" xfId="9" builtinId="8"/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6 2" xfId="6"/>
    <cellStyle name="Procentowy" xfId="7" builtinId="5"/>
    <cellStyle name="Procentowy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_WPF/2012_WPF%20przedsi&#281;wzi&#281;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2Przedsięwzięcia"/>
      <sheetName val="Zał.3 Przeds.zbiorczo"/>
      <sheetName val="Zał.4Zb.przeds"/>
      <sheetName val="Zał.4Zb.progr"/>
    </sheetNames>
    <sheetDataSet>
      <sheetData sheetId="0" refreshError="1">
        <row r="22">
          <cell r="E22">
            <v>81649870</v>
          </cell>
        </row>
        <row r="26">
          <cell r="I26">
            <v>0</v>
          </cell>
        </row>
        <row r="44">
          <cell r="E44">
            <v>18010079</v>
          </cell>
        </row>
      </sheetData>
      <sheetData sheetId="1" refreshError="1">
        <row r="49">
          <cell r="E49">
            <v>786054</v>
          </cell>
          <cell r="G49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3"/>
      <c r="B3" s="4" t="s">
        <v>0</v>
      </c>
      <c r="C3" s="21" t="s">
        <v>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11">
        <v>2018</v>
      </c>
      <c r="K3" s="11">
        <v>2019</v>
      </c>
      <c r="L3" s="12">
        <v>2020</v>
      </c>
      <c r="M3" s="14">
        <v>2021</v>
      </c>
      <c r="N3" s="11">
        <v>2022</v>
      </c>
      <c r="O3" s="11">
        <v>2023</v>
      </c>
      <c r="P3" s="11">
        <v>2024</v>
      </c>
      <c r="Q3" s="11">
        <v>2025</v>
      </c>
      <c r="R3" s="11">
        <v>2026</v>
      </c>
      <c r="S3" s="11">
        <v>2027</v>
      </c>
      <c r="T3" s="11">
        <v>2028</v>
      </c>
      <c r="U3" s="11">
        <v>2029</v>
      </c>
      <c r="V3" s="11">
        <v>2030</v>
      </c>
      <c r="W3" s="11">
        <v>2031</v>
      </c>
      <c r="X3" s="11">
        <v>2032</v>
      </c>
      <c r="Y3" s="11">
        <v>2033</v>
      </c>
      <c r="Z3" s="11">
        <v>2034</v>
      </c>
      <c r="AA3" s="11">
        <v>2035</v>
      </c>
      <c r="AB3" s="11">
        <v>2036</v>
      </c>
      <c r="AC3" s="11">
        <v>2037</v>
      </c>
      <c r="AD3" s="11">
        <v>2038</v>
      </c>
      <c r="AE3" s="11">
        <v>2039</v>
      </c>
      <c r="AF3" s="12" t="s">
        <v>8</v>
      </c>
      <c r="AG3" s="12">
        <v>2041</v>
      </c>
      <c r="AH3" s="12">
        <v>2042</v>
      </c>
      <c r="AI3" s="12">
        <v>2043</v>
      </c>
      <c r="AJ3" s="12">
        <v>2044</v>
      </c>
      <c r="AK3" s="12">
        <v>2045</v>
      </c>
      <c r="AL3" s="12">
        <v>2046</v>
      </c>
      <c r="AM3" s="12">
        <v>2047</v>
      </c>
      <c r="AN3" s="12">
        <v>2048</v>
      </c>
      <c r="AO3" s="12">
        <v>2049</v>
      </c>
      <c r="AP3" s="12">
        <v>2050</v>
      </c>
    </row>
    <row r="4" spans="1:42" ht="14.25" customHeight="1">
      <c r="A4" s="10">
        <v>1</v>
      </c>
      <c r="B4" s="17">
        <v>1</v>
      </c>
      <c r="C4" s="22" t="s">
        <v>28</v>
      </c>
      <c r="D4" s="15" t="str">
        <f t="shared" ref="D4:AF16" si="0">+"rokprognozy="&amp;D$3&amp;" i lp="&amp;$A4</f>
        <v>rokprognozy=2012 i lp=1</v>
      </c>
      <c r="E4" s="15" t="str">
        <f t="shared" si="0"/>
        <v>rokprognozy=2013 i lp=1</v>
      </c>
      <c r="F4" s="15" t="str">
        <f t="shared" si="0"/>
        <v>rokprognozy=2014 i lp=1</v>
      </c>
      <c r="G4" s="15" t="str">
        <f t="shared" si="0"/>
        <v>rokprognozy=2015 i lp=1</v>
      </c>
      <c r="H4" s="15" t="str">
        <f t="shared" si="0"/>
        <v>rokprognozy=2016 i lp=1</v>
      </c>
      <c r="I4" s="15" t="str">
        <f t="shared" si="0"/>
        <v>rokprognozy=2017 i lp=1</v>
      </c>
      <c r="J4" s="15" t="str">
        <f t="shared" si="0"/>
        <v>rokprognozy=2018 i lp=1</v>
      </c>
      <c r="K4" s="15" t="str">
        <f t="shared" si="0"/>
        <v>rokprognozy=2019 i lp=1</v>
      </c>
      <c r="L4" s="15" t="str">
        <f t="shared" si="0"/>
        <v>rokprognozy=2020 i lp=1</v>
      </c>
      <c r="M4" s="15" t="str">
        <f t="shared" si="0"/>
        <v>rokprognozy=2021 i lp=1</v>
      </c>
      <c r="N4" s="15" t="str">
        <f t="shared" si="0"/>
        <v>rokprognozy=2022 i lp=1</v>
      </c>
      <c r="O4" s="15" t="str">
        <f t="shared" si="0"/>
        <v>rokprognozy=2023 i lp=1</v>
      </c>
      <c r="P4" s="15" t="str">
        <f t="shared" si="0"/>
        <v>rokprognozy=2024 i lp=1</v>
      </c>
      <c r="Q4" s="15" t="str">
        <f t="shared" si="0"/>
        <v>rokprognozy=2025 i lp=1</v>
      </c>
      <c r="R4" s="15" t="str">
        <f t="shared" si="0"/>
        <v>rokprognozy=2026 i lp=1</v>
      </c>
      <c r="S4" s="15" t="str">
        <f t="shared" si="0"/>
        <v>rokprognozy=2027 i lp=1</v>
      </c>
      <c r="T4" s="15" t="str">
        <f t="shared" si="0"/>
        <v>rokprognozy=2028 i lp=1</v>
      </c>
      <c r="U4" s="15" t="str">
        <f t="shared" si="0"/>
        <v>rokprognozy=2029 i lp=1</v>
      </c>
      <c r="V4" s="15" t="str">
        <f t="shared" si="0"/>
        <v>rokprognozy=2030 i lp=1</v>
      </c>
      <c r="W4" s="15" t="str">
        <f t="shared" si="0"/>
        <v>rokprognozy=2031 i lp=1</v>
      </c>
      <c r="X4" s="15" t="str">
        <f t="shared" si="0"/>
        <v>rokprognozy=2032 i lp=1</v>
      </c>
      <c r="Y4" s="15" t="str">
        <f t="shared" si="0"/>
        <v>rokprognozy=2033 i lp=1</v>
      </c>
      <c r="Z4" s="15" t="str">
        <f t="shared" si="0"/>
        <v>rokprognozy=2034 i lp=1</v>
      </c>
      <c r="AA4" s="15" t="str">
        <f t="shared" si="0"/>
        <v>rokprognozy=2035 i lp=1</v>
      </c>
      <c r="AB4" s="15" t="str">
        <f t="shared" si="0"/>
        <v>rokprognozy=2036 i lp=1</v>
      </c>
      <c r="AC4" s="15" t="str">
        <f t="shared" si="0"/>
        <v>rokprognozy=2037 i lp=1</v>
      </c>
      <c r="AD4" s="15" t="str">
        <f t="shared" si="0"/>
        <v>rokprognozy=2038 i lp=1</v>
      </c>
      <c r="AE4" s="15" t="str">
        <f t="shared" si="0"/>
        <v>rokprognozy=2039 i lp=1</v>
      </c>
      <c r="AF4" s="15" t="str">
        <f t="shared" si="0"/>
        <v>rokprognozy=2040 i lp=1</v>
      </c>
      <c r="AG4" s="15" t="str">
        <f t="shared" ref="AG4:AP15" si="1">+"rokprognozy="&amp;AG$3&amp;" i lp="&amp;$A4</f>
        <v>rokprognozy=2041 i lp=1</v>
      </c>
      <c r="AH4" s="15" t="str">
        <f t="shared" si="1"/>
        <v>rokprognozy=2042 i lp=1</v>
      </c>
      <c r="AI4" s="15" t="str">
        <f t="shared" si="1"/>
        <v>rokprognozy=2043 i lp=1</v>
      </c>
      <c r="AJ4" s="15" t="str">
        <f t="shared" si="1"/>
        <v>rokprognozy=2044 i lp=1</v>
      </c>
      <c r="AK4" s="15" t="str">
        <f t="shared" si="1"/>
        <v>rokprognozy=2045 i lp=1</v>
      </c>
      <c r="AL4" s="15" t="str">
        <f t="shared" si="1"/>
        <v>rokprognozy=2046 i lp=1</v>
      </c>
      <c r="AM4" s="15" t="str">
        <f t="shared" si="1"/>
        <v>rokprognozy=2047 i lp=1</v>
      </c>
      <c r="AN4" s="15" t="str">
        <f t="shared" si="1"/>
        <v>rokprognozy=2048 i lp=1</v>
      </c>
      <c r="AO4" s="15" t="str">
        <f t="shared" si="1"/>
        <v>rokprognozy=2049 i lp=1</v>
      </c>
      <c r="AP4" s="15" t="str">
        <f t="shared" si="1"/>
        <v>rokprognozy=2050 i lp=1</v>
      </c>
    </row>
    <row r="5" spans="1:42" ht="14.25" customHeight="1">
      <c r="A5" s="5">
        <v>2</v>
      </c>
      <c r="B5" s="17" t="s">
        <v>29</v>
      </c>
      <c r="C5" s="1" t="s">
        <v>30</v>
      </c>
      <c r="D5" s="15" t="str">
        <f t="shared" ref="D5:L30" si="2">+"rokprognozy="&amp;D$3&amp;" i lp="&amp;$A5</f>
        <v>rokprognozy=2012 i lp=2</v>
      </c>
      <c r="E5" s="15" t="str">
        <f t="shared" si="2"/>
        <v>rokprognozy=2013 i lp=2</v>
      </c>
      <c r="F5" s="15" t="str">
        <f t="shared" si="2"/>
        <v>rokprognozy=2014 i lp=2</v>
      </c>
      <c r="G5" s="15" t="str">
        <f t="shared" si="2"/>
        <v>rokprognozy=2015 i lp=2</v>
      </c>
      <c r="H5" s="15" t="str">
        <f t="shared" si="2"/>
        <v>rokprognozy=2016 i lp=2</v>
      </c>
      <c r="I5" s="15" t="str">
        <f t="shared" si="2"/>
        <v>rokprognozy=2017 i lp=2</v>
      </c>
      <c r="J5" s="15" t="str">
        <f t="shared" si="2"/>
        <v>rokprognozy=2018 i lp=2</v>
      </c>
      <c r="K5" s="15" t="str">
        <f t="shared" si="2"/>
        <v>rokprognozy=2019 i lp=2</v>
      </c>
      <c r="L5" s="15" t="str">
        <f t="shared" si="2"/>
        <v>rokprognozy=2020 i lp=2</v>
      </c>
      <c r="M5" s="15" t="str">
        <f t="shared" si="0"/>
        <v>rokprognozy=2021 i lp=2</v>
      </c>
      <c r="N5" s="15" t="str">
        <f t="shared" si="0"/>
        <v>rokprognozy=2022 i lp=2</v>
      </c>
      <c r="O5" s="15" t="str">
        <f t="shared" si="0"/>
        <v>rokprognozy=2023 i lp=2</v>
      </c>
      <c r="P5" s="15" t="str">
        <f t="shared" si="0"/>
        <v>rokprognozy=2024 i lp=2</v>
      </c>
      <c r="Q5" s="15" t="str">
        <f t="shared" si="0"/>
        <v>rokprognozy=2025 i lp=2</v>
      </c>
      <c r="R5" s="15" t="str">
        <f t="shared" si="0"/>
        <v>rokprognozy=2026 i lp=2</v>
      </c>
      <c r="S5" s="15" t="str">
        <f t="shared" si="0"/>
        <v>rokprognozy=2027 i lp=2</v>
      </c>
      <c r="T5" s="15" t="str">
        <f t="shared" si="0"/>
        <v>rokprognozy=2028 i lp=2</v>
      </c>
      <c r="U5" s="15" t="str">
        <f t="shared" si="0"/>
        <v>rokprognozy=2029 i lp=2</v>
      </c>
      <c r="V5" s="15" t="str">
        <f t="shared" si="0"/>
        <v>rokprognozy=2030 i lp=2</v>
      </c>
      <c r="W5" s="15" t="str">
        <f t="shared" si="0"/>
        <v>rokprognozy=2031 i lp=2</v>
      </c>
      <c r="X5" s="15" t="str">
        <f t="shared" si="0"/>
        <v>rokprognozy=2032 i lp=2</v>
      </c>
      <c r="Y5" s="15" t="str">
        <f t="shared" si="0"/>
        <v>rokprognozy=2033 i lp=2</v>
      </c>
      <c r="Z5" s="15" t="str">
        <f t="shared" si="0"/>
        <v>rokprognozy=2034 i lp=2</v>
      </c>
      <c r="AA5" s="15" t="str">
        <f t="shared" si="0"/>
        <v>rokprognozy=2035 i lp=2</v>
      </c>
      <c r="AB5" s="15" t="str">
        <f t="shared" si="0"/>
        <v>rokprognozy=2036 i lp=2</v>
      </c>
      <c r="AC5" s="15" t="str">
        <f t="shared" si="0"/>
        <v>rokprognozy=2037 i lp=2</v>
      </c>
      <c r="AD5" s="15" t="str">
        <f t="shared" si="0"/>
        <v>rokprognozy=2038 i lp=2</v>
      </c>
      <c r="AE5" s="15" t="str">
        <f t="shared" si="0"/>
        <v>rokprognozy=2039 i lp=2</v>
      </c>
      <c r="AF5" s="15" t="str">
        <f t="shared" si="0"/>
        <v>rokprognozy=2040 i lp=2</v>
      </c>
      <c r="AG5" s="15" t="str">
        <f t="shared" si="1"/>
        <v>rokprognozy=2041 i lp=2</v>
      </c>
      <c r="AH5" s="15" t="str">
        <f t="shared" si="1"/>
        <v>rokprognozy=2042 i lp=2</v>
      </c>
      <c r="AI5" s="15" t="str">
        <f t="shared" si="1"/>
        <v>rokprognozy=2043 i lp=2</v>
      </c>
      <c r="AJ5" s="15" t="str">
        <f t="shared" si="1"/>
        <v>rokprognozy=2044 i lp=2</v>
      </c>
      <c r="AK5" s="15" t="str">
        <f t="shared" si="1"/>
        <v>rokprognozy=2045 i lp=2</v>
      </c>
      <c r="AL5" s="15" t="str">
        <f t="shared" si="1"/>
        <v>rokprognozy=2046 i lp=2</v>
      </c>
      <c r="AM5" s="15" t="str">
        <f t="shared" si="1"/>
        <v>rokprognozy=2047 i lp=2</v>
      </c>
      <c r="AN5" s="15" t="str">
        <f t="shared" si="1"/>
        <v>rokprognozy=2048 i lp=2</v>
      </c>
      <c r="AO5" s="15" t="str">
        <f t="shared" si="1"/>
        <v>rokprognozy=2049 i lp=2</v>
      </c>
      <c r="AP5" s="15" t="str">
        <f t="shared" si="1"/>
        <v>rokprognozy=2050 i lp=2</v>
      </c>
    </row>
    <row r="6" spans="1:42" ht="14.25" customHeight="1">
      <c r="A6" s="5">
        <v>3</v>
      </c>
      <c r="B6" s="17" t="s">
        <v>31</v>
      </c>
      <c r="C6" s="1" t="s">
        <v>32</v>
      </c>
      <c r="D6" s="15" t="str">
        <f t="shared" si="2"/>
        <v>rokprognozy=2012 i lp=3</v>
      </c>
      <c r="E6" s="15" t="str">
        <f t="shared" si="2"/>
        <v>rokprognozy=2013 i lp=3</v>
      </c>
      <c r="F6" s="15" t="str">
        <f t="shared" si="2"/>
        <v>rokprognozy=2014 i lp=3</v>
      </c>
      <c r="G6" s="15" t="str">
        <f t="shared" si="2"/>
        <v>rokprognozy=2015 i lp=3</v>
      </c>
      <c r="H6" s="15" t="str">
        <f t="shared" si="2"/>
        <v>rokprognozy=2016 i lp=3</v>
      </c>
      <c r="I6" s="15" t="str">
        <f t="shared" si="2"/>
        <v>rokprognozy=2017 i lp=3</v>
      </c>
      <c r="J6" s="15" t="str">
        <f t="shared" si="2"/>
        <v>rokprognozy=2018 i lp=3</v>
      </c>
      <c r="K6" s="15" t="str">
        <f t="shared" si="2"/>
        <v>rokprognozy=2019 i lp=3</v>
      </c>
      <c r="L6" s="15" t="str">
        <f t="shared" si="2"/>
        <v>rokprognozy=2020 i lp=3</v>
      </c>
      <c r="M6" s="15" t="str">
        <f t="shared" si="0"/>
        <v>rokprognozy=2021 i lp=3</v>
      </c>
      <c r="N6" s="15" t="str">
        <f t="shared" si="0"/>
        <v>rokprognozy=2022 i lp=3</v>
      </c>
      <c r="O6" s="15" t="str">
        <f t="shared" si="0"/>
        <v>rokprognozy=2023 i lp=3</v>
      </c>
      <c r="P6" s="15" t="str">
        <f t="shared" si="0"/>
        <v>rokprognozy=2024 i lp=3</v>
      </c>
      <c r="Q6" s="15" t="str">
        <f t="shared" si="0"/>
        <v>rokprognozy=2025 i lp=3</v>
      </c>
      <c r="R6" s="15" t="str">
        <f t="shared" si="0"/>
        <v>rokprognozy=2026 i lp=3</v>
      </c>
      <c r="S6" s="15" t="str">
        <f t="shared" si="0"/>
        <v>rokprognozy=2027 i lp=3</v>
      </c>
      <c r="T6" s="15" t="str">
        <f t="shared" si="0"/>
        <v>rokprognozy=2028 i lp=3</v>
      </c>
      <c r="U6" s="15" t="str">
        <f t="shared" si="0"/>
        <v>rokprognozy=2029 i lp=3</v>
      </c>
      <c r="V6" s="15" t="str">
        <f t="shared" si="0"/>
        <v>rokprognozy=2030 i lp=3</v>
      </c>
      <c r="W6" s="15" t="str">
        <f t="shared" si="0"/>
        <v>rokprognozy=2031 i lp=3</v>
      </c>
      <c r="X6" s="15" t="str">
        <f t="shared" si="0"/>
        <v>rokprognozy=2032 i lp=3</v>
      </c>
      <c r="Y6" s="15" t="str">
        <f t="shared" si="0"/>
        <v>rokprognozy=2033 i lp=3</v>
      </c>
      <c r="Z6" s="15" t="str">
        <f t="shared" si="0"/>
        <v>rokprognozy=2034 i lp=3</v>
      </c>
      <c r="AA6" s="15" t="str">
        <f t="shared" si="0"/>
        <v>rokprognozy=2035 i lp=3</v>
      </c>
      <c r="AB6" s="15" t="str">
        <f t="shared" si="0"/>
        <v>rokprognozy=2036 i lp=3</v>
      </c>
      <c r="AC6" s="15" t="str">
        <f t="shared" si="0"/>
        <v>rokprognozy=2037 i lp=3</v>
      </c>
      <c r="AD6" s="15" t="str">
        <f t="shared" si="0"/>
        <v>rokprognozy=2038 i lp=3</v>
      </c>
      <c r="AE6" s="15" t="str">
        <f t="shared" si="0"/>
        <v>rokprognozy=2039 i lp=3</v>
      </c>
      <c r="AF6" s="15" t="str">
        <f t="shared" si="0"/>
        <v>rokprognozy=2040 i lp=3</v>
      </c>
      <c r="AG6" s="15" t="str">
        <f t="shared" si="1"/>
        <v>rokprognozy=2041 i lp=3</v>
      </c>
      <c r="AH6" s="15" t="str">
        <f t="shared" si="1"/>
        <v>rokprognozy=2042 i lp=3</v>
      </c>
      <c r="AI6" s="15" t="str">
        <f t="shared" si="1"/>
        <v>rokprognozy=2043 i lp=3</v>
      </c>
      <c r="AJ6" s="15" t="str">
        <f t="shared" si="1"/>
        <v>rokprognozy=2044 i lp=3</v>
      </c>
      <c r="AK6" s="15" t="str">
        <f t="shared" si="1"/>
        <v>rokprognozy=2045 i lp=3</v>
      </c>
      <c r="AL6" s="15" t="str">
        <f t="shared" si="1"/>
        <v>rokprognozy=2046 i lp=3</v>
      </c>
      <c r="AM6" s="15" t="str">
        <f t="shared" si="1"/>
        <v>rokprognozy=2047 i lp=3</v>
      </c>
      <c r="AN6" s="15" t="str">
        <f t="shared" si="1"/>
        <v>rokprognozy=2048 i lp=3</v>
      </c>
      <c r="AO6" s="15" t="str">
        <f t="shared" si="1"/>
        <v>rokprognozy=2049 i lp=3</v>
      </c>
      <c r="AP6" s="15" t="str">
        <f t="shared" si="1"/>
        <v>rokprognozy=2050 i lp=3</v>
      </c>
    </row>
    <row r="7" spans="1:42">
      <c r="A7" s="5">
        <v>4</v>
      </c>
      <c r="B7" s="17" t="s">
        <v>33</v>
      </c>
      <c r="C7" s="2" t="s">
        <v>34</v>
      </c>
      <c r="D7" s="15" t="str">
        <f t="shared" si="2"/>
        <v>rokprognozy=2012 i lp=4</v>
      </c>
      <c r="E7" s="15" t="str">
        <f t="shared" si="2"/>
        <v>rokprognozy=2013 i lp=4</v>
      </c>
      <c r="F7" s="15" t="str">
        <f t="shared" si="2"/>
        <v>rokprognozy=2014 i lp=4</v>
      </c>
      <c r="G7" s="15" t="str">
        <f t="shared" si="2"/>
        <v>rokprognozy=2015 i lp=4</v>
      </c>
      <c r="H7" s="15" t="str">
        <f t="shared" si="2"/>
        <v>rokprognozy=2016 i lp=4</v>
      </c>
      <c r="I7" s="15" t="str">
        <f t="shared" si="2"/>
        <v>rokprognozy=2017 i lp=4</v>
      </c>
      <c r="J7" s="15" t="str">
        <f t="shared" si="2"/>
        <v>rokprognozy=2018 i lp=4</v>
      </c>
      <c r="K7" s="15" t="str">
        <f t="shared" si="2"/>
        <v>rokprognozy=2019 i lp=4</v>
      </c>
      <c r="L7" s="15" t="str">
        <f t="shared" si="2"/>
        <v>rokprognozy=2020 i lp=4</v>
      </c>
      <c r="M7" s="15" t="str">
        <f t="shared" si="0"/>
        <v>rokprognozy=2021 i lp=4</v>
      </c>
      <c r="N7" s="15" t="str">
        <f t="shared" si="0"/>
        <v>rokprognozy=2022 i lp=4</v>
      </c>
      <c r="O7" s="15" t="str">
        <f t="shared" si="0"/>
        <v>rokprognozy=2023 i lp=4</v>
      </c>
      <c r="P7" s="15" t="str">
        <f t="shared" si="0"/>
        <v>rokprognozy=2024 i lp=4</v>
      </c>
      <c r="Q7" s="15" t="str">
        <f t="shared" si="0"/>
        <v>rokprognozy=2025 i lp=4</v>
      </c>
      <c r="R7" s="15" t="str">
        <f t="shared" si="0"/>
        <v>rokprognozy=2026 i lp=4</v>
      </c>
      <c r="S7" s="15" t="str">
        <f t="shared" si="0"/>
        <v>rokprognozy=2027 i lp=4</v>
      </c>
      <c r="T7" s="15" t="str">
        <f t="shared" si="0"/>
        <v>rokprognozy=2028 i lp=4</v>
      </c>
      <c r="U7" s="15" t="str">
        <f t="shared" si="0"/>
        <v>rokprognozy=2029 i lp=4</v>
      </c>
      <c r="V7" s="15" t="str">
        <f t="shared" si="0"/>
        <v>rokprognozy=2030 i lp=4</v>
      </c>
      <c r="W7" s="15" t="str">
        <f t="shared" si="0"/>
        <v>rokprognozy=2031 i lp=4</v>
      </c>
      <c r="X7" s="15" t="str">
        <f t="shared" si="0"/>
        <v>rokprognozy=2032 i lp=4</v>
      </c>
      <c r="Y7" s="15" t="str">
        <f t="shared" si="0"/>
        <v>rokprognozy=2033 i lp=4</v>
      </c>
      <c r="Z7" s="15" t="str">
        <f t="shared" si="0"/>
        <v>rokprognozy=2034 i lp=4</v>
      </c>
      <c r="AA7" s="15" t="str">
        <f t="shared" si="0"/>
        <v>rokprognozy=2035 i lp=4</v>
      </c>
      <c r="AB7" s="15" t="str">
        <f t="shared" si="0"/>
        <v>rokprognozy=2036 i lp=4</v>
      </c>
      <c r="AC7" s="15" t="str">
        <f t="shared" si="0"/>
        <v>rokprognozy=2037 i lp=4</v>
      </c>
      <c r="AD7" s="15" t="str">
        <f t="shared" si="0"/>
        <v>rokprognozy=2038 i lp=4</v>
      </c>
      <c r="AE7" s="15" t="str">
        <f t="shared" si="0"/>
        <v>rokprognozy=2039 i lp=4</v>
      </c>
      <c r="AF7" s="15" t="str">
        <f t="shared" si="0"/>
        <v>rokprognozy=2040 i lp=4</v>
      </c>
      <c r="AG7" s="15" t="str">
        <f t="shared" si="1"/>
        <v>rokprognozy=2041 i lp=4</v>
      </c>
      <c r="AH7" s="15" t="str">
        <f t="shared" si="1"/>
        <v>rokprognozy=2042 i lp=4</v>
      </c>
      <c r="AI7" s="15" t="str">
        <f t="shared" si="1"/>
        <v>rokprognozy=2043 i lp=4</v>
      </c>
      <c r="AJ7" s="15" t="str">
        <f t="shared" si="1"/>
        <v>rokprognozy=2044 i lp=4</v>
      </c>
      <c r="AK7" s="15" t="str">
        <f t="shared" si="1"/>
        <v>rokprognozy=2045 i lp=4</v>
      </c>
      <c r="AL7" s="15" t="str">
        <f t="shared" si="1"/>
        <v>rokprognozy=2046 i lp=4</v>
      </c>
      <c r="AM7" s="15" t="str">
        <f t="shared" si="1"/>
        <v>rokprognozy=2047 i lp=4</v>
      </c>
      <c r="AN7" s="15" t="str">
        <f t="shared" si="1"/>
        <v>rokprognozy=2048 i lp=4</v>
      </c>
      <c r="AO7" s="15" t="str">
        <f t="shared" si="1"/>
        <v>rokprognozy=2049 i lp=4</v>
      </c>
      <c r="AP7" s="15" t="str">
        <f t="shared" si="1"/>
        <v>rokprognozy=2050 i lp=4</v>
      </c>
    </row>
    <row r="8" spans="1:42" ht="14.25" customHeight="1">
      <c r="A8" s="6">
        <v>5</v>
      </c>
      <c r="B8" s="17" t="s">
        <v>35</v>
      </c>
      <c r="C8" s="19" t="s">
        <v>36</v>
      </c>
      <c r="D8" s="15" t="str">
        <f t="shared" si="2"/>
        <v>rokprognozy=2012 i lp=5</v>
      </c>
      <c r="E8" s="15" t="str">
        <f t="shared" si="2"/>
        <v>rokprognozy=2013 i lp=5</v>
      </c>
      <c r="F8" s="15" t="str">
        <f t="shared" si="2"/>
        <v>rokprognozy=2014 i lp=5</v>
      </c>
      <c r="G8" s="15" t="str">
        <f t="shared" si="2"/>
        <v>rokprognozy=2015 i lp=5</v>
      </c>
      <c r="H8" s="15" t="str">
        <f t="shared" si="2"/>
        <v>rokprognozy=2016 i lp=5</v>
      </c>
      <c r="I8" s="15" t="str">
        <f t="shared" si="2"/>
        <v>rokprognozy=2017 i lp=5</v>
      </c>
      <c r="J8" s="15" t="str">
        <f t="shared" si="2"/>
        <v>rokprognozy=2018 i lp=5</v>
      </c>
      <c r="K8" s="15" t="str">
        <f t="shared" si="2"/>
        <v>rokprognozy=2019 i lp=5</v>
      </c>
      <c r="L8" s="15" t="str">
        <f t="shared" si="2"/>
        <v>rokprognozy=2020 i lp=5</v>
      </c>
      <c r="M8" s="15" t="str">
        <f t="shared" si="0"/>
        <v>rokprognozy=2021 i lp=5</v>
      </c>
      <c r="N8" s="15" t="str">
        <f t="shared" si="0"/>
        <v>rokprognozy=2022 i lp=5</v>
      </c>
      <c r="O8" s="15" t="str">
        <f t="shared" si="0"/>
        <v>rokprognozy=2023 i lp=5</v>
      </c>
      <c r="P8" s="15" t="str">
        <f t="shared" si="0"/>
        <v>rokprognozy=2024 i lp=5</v>
      </c>
      <c r="Q8" s="15" t="str">
        <f t="shared" si="0"/>
        <v>rokprognozy=2025 i lp=5</v>
      </c>
      <c r="R8" s="15" t="str">
        <f t="shared" si="0"/>
        <v>rokprognozy=2026 i lp=5</v>
      </c>
      <c r="S8" s="15" t="str">
        <f t="shared" si="0"/>
        <v>rokprognozy=2027 i lp=5</v>
      </c>
      <c r="T8" s="15" t="str">
        <f t="shared" si="0"/>
        <v>rokprognozy=2028 i lp=5</v>
      </c>
      <c r="U8" s="15" t="str">
        <f t="shared" si="0"/>
        <v>rokprognozy=2029 i lp=5</v>
      </c>
      <c r="V8" s="15" t="str">
        <f t="shared" si="0"/>
        <v>rokprognozy=2030 i lp=5</v>
      </c>
      <c r="W8" s="15" t="str">
        <f t="shared" si="0"/>
        <v>rokprognozy=2031 i lp=5</v>
      </c>
      <c r="X8" s="15" t="str">
        <f t="shared" si="0"/>
        <v>rokprognozy=2032 i lp=5</v>
      </c>
      <c r="Y8" s="15" t="str">
        <f t="shared" si="0"/>
        <v>rokprognozy=2033 i lp=5</v>
      </c>
      <c r="Z8" s="15" t="str">
        <f t="shared" si="0"/>
        <v>rokprognozy=2034 i lp=5</v>
      </c>
      <c r="AA8" s="15" t="str">
        <f t="shared" si="0"/>
        <v>rokprognozy=2035 i lp=5</v>
      </c>
      <c r="AB8" s="15" t="str">
        <f t="shared" si="0"/>
        <v>rokprognozy=2036 i lp=5</v>
      </c>
      <c r="AC8" s="15" t="str">
        <f t="shared" si="0"/>
        <v>rokprognozy=2037 i lp=5</v>
      </c>
      <c r="AD8" s="15" t="str">
        <f t="shared" si="0"/>
        <v>rokprognozy=2038 i lp=5</v>
      </c>
      <c r="AE8" s="15" t="str">
        <f t="shared" si="0"/>
        <v>rokprognozy=2039 i lp=5</v>
      </c>
      <c r="AF8" s="15" t="str">
        <f t="shared" si="0"/>
        <v>rokprognozy=2040 i lp=5</v>
      </c>
      <c r="AG8" s="15" t="str">
        <f t="shared" si="1"/>
        <v>rokprognozy=2041 i lp=5</v>
      </c>
      <c r="AH8" s="15" t="str">
        <f t="shared" si="1"/>
        <v>rokprognozy=2042 i lp=5</v>
      </c>
      <c r="AI8" s="15" t="str">
        <f t="shared" si="1"/>
        <v>rokprognozy=2043 i lp=5</v>
      </c>
      <c r="AJ8" s="15" t="str">
        <f t="shared" si="1"/>
        <v>rokprognozy=2044 i lp=5</v>
      </c>
      <c r="AK8" s="15" t="str">
        <f t="shared" si="1"/>
        <v>rokprognozy=2045 i lp=5</v>
      </c>
      <c r="AL8" s="15" t="str">
        <f t="shared" si="1"/>
        <v>rokprognozy=2046 i lp=5</v>
      </c>
      <c r="AM8" s="15" t="str">
        <f t="shared" si="1"/>
        <v>rokprognozy=2047 i lp=5</v>
      </c>
      <c r="AN8" s="15" t="str">
        <f t="shared" si="1"/>
        <v>rokprognozy=2048 i lp=5</v>
      </c>
      <c r="AO8" s="15" t="str">
        <f t="shared" si="1"/>
        <v>rokprognozy=2049 i lp=5</v>
      </c>
      <c r="AP8" s="15" t="str">
        <f t="shared" si="1"/>
        <v>rokprognozy=2050 i lp=5</v>
      </c>
    </row>
    <row r="9" spans="1:42" ht="14.25" customHeight="1">
      <c r="A9" s="5">
        <v>6</v>
      </c>
      <c r="B9" s="17" t="s">
        <v>37</v>
      </c>
      <c r="C9" s="1" t="s">
        <v>38</v>
      </c>
      <c r="D9" s="15" t="str">
        <f t="shared" si="2"/>
        <v>rokprognozy=2012 i lp=6</v>
      </c>
      <c r="E9" s="15" t="str">
        <f t="shared" si="2"/>
        <v>rokprognozy=2013 i lp=6</v>
      </c>
      <c r="F9" s="15" t="str">
        <f t="shared" si="2"/>
        <v>rokprognozy=2014 i lp=6</v>
      </c>
      <c r="G9" s="15" t="str">
        <f t="shared" si="2"/>
        <v>rokprognozy=2015 i lp=6</v>
      </c>
      <c r="H9" s="15" t="str">
        <f t="shared" si="2"/>
        <v>rokprognozy=2016 i lp=6</v>
      </c>
      <c r="I9" s="15" t="str">
        <f t="shared" si="2"/>
        <v>rokprognozy=2017 i lp=6</v>
      </c>
      <c r="J9" s="15" t="str">
        <f t="shared" si="2"/>
        <v>rokprognozy=2018 i lp=6</v>
      </c>
      <c r="K9" s="15" t="str">
        <f t="shared" si="2"/>
        <v>rokprognozy=2019 i lp=6</v>
      </c>
      <c r="L9" s="15" t="str">
        <f t="shared" si="2"/>
        <v>rokprognozy=2020 i lp=6</v>
      </c>
      <c r="M9" s="15" t="str">
        <f t="shared" si="0"/>
        <v>rokprognozy=2021 i lp=6</v>
      </c>
      <c r="N9" s="15" t="str">
        <f t="shared" si="0"/>
        <v>rokprognozy=2022 i lp=6</v>
      </c>
      <c r="O9" s="15" t="str">
        <f t="shared" si="0"/>
        <v>rokprognozy=2023 i lp=6</v>
      </c>
      <c r="P9" s="15" t="str">
        <f t="shared" si="0"/>
        <v>rokprognozy=2024 i lp=6</v>
      </c>
      <c r="Q9" s="15" t="str">
        <f t="shared" si="0"/>
        <v>rokprognozy=2025 i lp=6</v>
      </c>
      <c r="R9" s="15" t="str">
        <f t="shared" si="0"/>
        <v>rokprognozy=2026 i lp=6</v>
      </c>
      <c r="S9" s="15" t="str">
        <f t="shared" si="0"/>
        <v>rokprognozy=2027 i lp=6</v>
      </c>
      <c r="T9" s="15" t="str">
        <f t="shared" si="0"/>
        <v>rokprognozy=2028 i lp=6</v>
      </c>
      <c r="U9" s="15" t="str">
        <f t="shared" si="0"/>
        <v>rokprognozy=2029 i lp=6</v>
      </c>
      <c r="V9" s="15" t="str">
        <f t="shared" si="0"/>
        <v>rokprognozy=2030 i lp=6</v>
      </c>
      <c r="W9" s="15" t="str">
        <f t="shared" si="0"/>
        <v>rokprognozy=2031 i lp=6</v>
      </c>
      <c r="X9" s="15" t="str">
        <f t="shared" si="0"/>
        <v>rokprognozy=2032 i lp=6</v>
      </c>
      <c r="Y9" s="15" t="str">
        <f t="shared" si="0"/>
        <v>rokprognozy=2033 i lp=6</v>
      </c>
      <c r="Z9" s="15" t="str">
        <f t="shared" si="0"/>
        <v>rokprognozy=2034 i lp=6</v>
      </c>
      <c r="AA9" s="15" t="str">
        <f t="shared" si="0"/>
        <v>rokprognozy=2035 i lp=6</v>
      </c>
      <c r="AB9" s="15" t="str">
        <f t="shared" si="0"/>
        <v>rokprognozy=2036 i lp=6</v>
      </c>
      <c r="AC9" s="15" t="str">
        <f t="shared" si="0"/>
        <v>rokprognozy=2037 i lp=6</v>
      </c>
      <c r="AD9" s="15" t="str">
        <f t="shared" si="0"/>
        <v>rokprognozy=2038 i lp=6</v>
      </c>
      <c r="AE9" s="15" t="str">
        <f t="shared" si="0"/>
        <v>rokprognozy=2039 i lp=6</v>
      </c>
      <c r="AF9" s="15" t="str">
        <f t="shared" si="0"/>
        <v>rokprognozy=2040 i lp=6</v>
      </c>
      <c r="AG9" s="15" t="str">
        <f t="shared" si="1"/>
        <v>rokprognozy=2041 i lp=6</v>
      </c>
      <c r="AH9" s="15" t="str">
        <f t="shared" si="1"/>
        <v>rokprognozy=2042 i lp=6</v>
      </c>
      <c r="AI9" s="15" t="str">
        <f t="shared" si="1"/>
        <v>rokprognozy=2043 i lp=6</v>
      </c>
      <c r="AJ9" s="15" t="str">
        <f t="shared" si="1"/>
        <v>rokprognozy=2044 i lp=6</v>
      </c>
      <c r="AK9" s="15" t="str">
        <f t="shared" si="1"/>
        <v>rokprognozy=2045 i lp=6</v>
      </c>
      <c r="AL9" s="15" t="str">
        <f t="shared" si="1"/>
        <v>rokprognozy=2046 i lp=6</v>
      </c>
      <c r="AM9" s="15" t="str">
        <f t="shared" si="1"/>
        <v>rokprognozy=2047 i lp=6</v>
      </c>
      <c r="AN9" s="15" t="str">
        <f t="shared" si="1"/>
        <v>rokprognozy=2048 i lp=6</v>
      </c>
      <c r="AO9" s="15" t="str">
        <f t="shared" si="1"/>
        <v>rokprognozy=2049 i lp=6</v>
      </c>
      <c r="AP9" s="15" t="str">
        <f t="shared" si="1"/>
        <v>rokprognozy=2050 i lp=6</v>
      </c>
    </row>
    <row r="10" spans="1:42" ht="14.25" customHeight="1">
      <c r="A10" s="5">
        <v>7</v>
      </c>
      <c r="B10" s="17">
        <v>2</v>
      </c>
      <c r="C10" s="1" t="s">
        <v>2</v>
      </c>
      <c r="D10" s="15" t="str">
        <f t="shared" si="2"/>
        <v>rokprognozy=2012 i lp=7</v>
      </c>
      <c r="E10" s="15" t="str">
        <f t="shared" si="2"/>
        <v>rokprognozy=2013 i lp=7</v>
      </c>
      <c r="F10" s="15" t="str">
        <f t="shared" si="2"/>
        <v>rokprognozy=2014 i lp=7</v>
      </c>
      <c r="G10" s="15" t="str">
        <f t="shared" si="2"/>
        <v>rokprognozy=2015 i lp=7</v>
      </c>
      <c r="H10" s="15" t="str">
        <f t="shared" si="2"/>
        <v>rokprognozy=2016 i lp=7</v>
      </c>
      <c r="I10" s="15" t="str">
        <f t="shared" si="2"/>
        <v>rokprognozy=2017 i lp=7</v>
      </c>
      <c r="J10" s="15" t="str">
        <f t="shared" si="2"/>
        <v>rokprognozy=2018 i lp=7</v>
      </c>
      <c r="K10" s="15" t="str">
        <f t="shared" si="2"/>
        <v>rokprognozy=2019 i lp=7</v>
      </c>
      <c r="L10" s="15" t="str">
        <f t="shared" si="2"/>
        <v>rokprognozy=2020 i lp=7</v>
      </c>
      <c r="M10" s="15" t="str">
        <f t="shared" si="0"/>
        <v>rokprognozy=2021 i lp=7</v>
      </c>
      <c r="N10" s="15" t="str">
        <f t="shared" si="0"/>
        <v>rokprognozy=2022 i lp=7</v>
      </c>
      <c r="O10" s="15" t="str">
        <f t="shared" si="0"/>
        <v>rokprognozy=2023 i lp=7</v>
      </c>
      <c r="P10" s="15" t="str">
        <f t="shared" si="0"/>
        <v>rokprognozy=2024 i lp=7</v>
      </c>
      <c r="Q10" s="15" t="str">
        <f t="shared" si="0"/>
        <v>rokprognozy=2025 i lp=7</v>
      </c>
      <c r="R10" s="15" t="str">
        <f t="shared" si="0"/>
        <v>rokprognozy=2026 i lp=7</v>
      </c>
      <c r="S10" s="15" t="str">
        <f t="shared" si="0"/>
        <v>rokprognozy=2027 i lp=7</v>
      </c>
      <c r="T10" s="15" t="str">
        <f t="shared" si="0"/>
        <v>rokprognozy=2028 i lp=7</v>
      </c>
      <c r="U10" s="15" t="str">
        <f t="shared" si="0"/>
        <v>rokprognozy=2029 i lp=7</v>
      </c>
      <c r="V10" s="15" t="str">
        <f t="shared" si="0"/>
        <v>rokprognozy=2030 i lp=7</v>
      </c>
      <c r="W10" s="15" t="str">
        <f t="shared" si="0"/>
        <v>rokprognozy=2031 i lp=7</v>
      </c>
      <c r="X10" s="15" t="str">
        <f t="shared" si="0"/>
        <v>rokprognozy=2032 i lp=7</v>
      </c>
      <c r="Y10" s="15" t="str">
        <f t="shared" si="0"/>
        <v>rokprognozy=2033 i lp=7</v>
      </c>
      <c r="Z10" s="15" t="str">
        <f t="shared" si="0"/>
        <v>rokprognozy=2034 i lp=7</v>
      </c>
      <c r="AA10" s="15" t="str">
        <f t="shared" si="0"/>
        <v>rokprognozy=2035 i lp=7</v>
      </c>
      <c r="AB10" s="15" t="str">
        <f t="shared" si="0"/>
        <v>rokprognozy=2036 i lp=7</v>
      </c>
      <c r="AC10" s="15" t="str">
        <f t="shared" si="0"/>
        <v>rokprognozy=2037 i lp=7</v>
      </c>
      <c r="AD10" s="15" t="str">
        <f t="shared" si="0"/>
        <v>rokprognozy=2038 i lp=7</v>
      </c>
      <c r="AE10" s="15" t="str">
        <f t="shared" si="0"/>
        <v>rokprognozy=2039 i lp=7</v>
      </c>
      <c r="AF10" s="15" t="str">
        <f t="shared" si="0"/>
        <v>rokprognozy=2040 i lp=7</v>
      </c>
      <c r="AG10" s="15" t="str">
        <f t="shared" si="1"/>
        <v>rokprognozy=2041 i lp=7</v>
      </c>
      <c r="AH10" s="15" t="str">
        <f t="shared" si="1"/>
        <v>rokprognozy=2042 i lp=7</v>
      </c>
      <c r="AI10" s="15" t="str">
        <f t="shared" si="1"/>
        <v>rokprognozy=2043 i lp=7</v>
      </c>
      <c r="AJ10" s="15" t="str">
        <f t="shared" si="1"/>
        <v>rokprognozy=2044 i lp=7</v>
      </c>
      <c r="AK10" s="15" t="str">
        <f t="shared" si="1"/>
        <v>rokprognozy=2045 i lp=7</v>
      </c>
      <c r="AL10" s="15" t="str">
        <f t="shared" si="1"/>
        <v>rokprognozy=2046 i lp=7</v>
      </c>
      <c r="AM10" s="15" t="str">
        <f t="shared" si="1"/>
        <v>rokprognozy=2047 i lp=7</v>
      </c>
      <c r="AN10" s="15" t="str">
        <f t="shared" si="1"/>
        <v>rokprognozy=2048 i lp=7</v>
      </c>
      <c r="AO10" s="15" t="str">
        <f t="shared" si="1"/>
        <v>rokprognozy=2049 i lp=7</v>
      </c>
      <c r="AP10" s="15" t="str">
        <f t="shared" si="1"/>
        <v>rokprognozy=2050 i lp=7</v>
      </c>
    </row>
    <row r="11" spans="1:42" ht="14.25" customHeight="1">
      <c r="A11" s="5">
        <v>8</v>
      </c>
      <c r="B11" s="17" t="s">
        <v>39</v>
      </c>
      <c r="C11" s="1" t="s">
        <v>40</v>
      </c>
      <c r="D11" s="15" t="str">
        <f t="shared" si="2"/>
        <v>rokprognozy=2012 i lp=8</v>
      </c>
      <c r="E11" s="15" t="str">
        <f t="shared" si="2"/>
        <v>rokprognozy=2013 i lp=8</v>
      </c>
      <c r="F11" s="15" t="str">
        <f t="shared" si="2"/>
        <v>rokprognozy=2014 i lp=8</v>
      </c>
      <c r="G11" s="15" t="str">
        <f t="shared" si="2"/>
        <v>rokprognozy=2015 i lp=8</v>
      </c>
      <c r="H11" s="15" t="str">
        <f t="shared" si="2"/>
        <v>rokprognozy=2016 i lp=8</v>
      </c>
      <c r="I11" s="15" t="str">
        <f t="shared" si="2"/>
        <v>rokprognozy=2017 i lp=8</v>
      </c>
      <c r="J11" s="15" t="str">
        <f t="shared" si="2"/>
        <v>rokprognozy=2018 i lp=8</v>
      </c>
      <c r="K11" s="15" t="str">
        <f t="shared" si="2"/>
        <v>rokprognozy=2019 i lp=8</v>
      </c>
      <c r="L11" s="15" t="str">
        <f t="shared" si="2"/>
        <v>rokprognozy=2020 i lp=8</v>
      </c>
      <c r="M11" s="15" t="str">
        <f t="shared" si="0"/>
        <v>rokprognozy=2021 i lp=8</v>
      </c>
      <c r="N11" s="15" t="str">
        <f t="shared" si="0"/>
        <v>rokprognozy=2022 i lp=8</v>
      </c>
      <c r="O11" s="15" t="str">
        <f t="shared" si="0"/>
        <v>rokprognozy=2023 i lp=8</v>
      </c>
      <c r="P11" s="15" t="str">
        <f t="shared" si="0"/>
        <v>rokprognozy=2024 i lp=8</v>
      </c>
      <c r="Q11" s="15" t="str">
        <f t="shared" si="0"/>
        <v>rokprognozy=2025 i lp=8</v>
      </c>
      <c r="R11" s="15" t="str">
        <f t="shared" si="0"/>
        <v>rokprognozy=2026 i lp=8</v>
      </c>
      <c r="S11" s="15" t="str">
        <f t="shared" si="0"/>
        <v>rokprognozy=2027 i lp=8</v>
      </c>
      <c r="T11" s="15" t="str">
        <f t="shared" si="0"/>
        <v>rokprognozy=2028 i lp=8</v>
      </c>
      <c r="U11" s="15" t="str">
        <f t="shared" si="0"/>
        <v>rokprognozy=2029 i lp=8</v>
      </c>
      <c r="V11" s="15" t="str">
        <f t="shared" si="0"/>
        <v>rokprognozy=2030 i lp=8</v>
      </c>
      <c r="W11" s="15" t="str">
        <f t="shared" si="0"/>
        <v>rokprognozy=2031 i lp=8</v>
      </c>
      <c r="X11" s="15" t="str">
        <f t="shared" si="0"/>
        <v>rokprognozy=2032 i lp=8</v>
      </c>
      <c r="Y11" s="15" t="str">
        <f t="shared" si="0"/>
        <v>rokprognozy=2033 i lp=8</v>
      </c>
      <c r="Z11" s="15" t="str">
        <f t="shared" si="0"/>
        <v>rokprognozy=2034 i lp=8</v>
      </c>
      <c r="AA11" s="15" t="str">
        <f t="shared" si="0"/>
        <v>rokprognozy=2035 i lp=8</v>
      </c>
      <c r="AB11" s="15" t="str">
        <f t="shared" si="0"/>
        <v>rokprognozy=2036 i lp=8</v>
      </c>
      <c r="AC11" s="15" t="str">
        <f t="shared" si="0"/>
        <v>rokprognozy=2037 i lp=8</v>
      </c>
      <c r="AD11" s="15" t="str">
        <f t="shared" si="0"/>
        <v>rokprognozy=2038 i lp=8</v>
      </c>
      <c r="AE11" s="15" t="str">
        <f t="shared" si="0"/>
        <v>rokprognozy=2039 i lp=8</v>
      </c>
      <c r="AF11" s="15" t="str">
        <f t="shared" si="0"/>
        <v>rokprognozy=2040 i lp=8</v>
      </c>
      <c r="AG11" s="15" t="str">
        <f t="shared" si="1"/>
        <v>rokprognozy=2041 i lp=8</v>
      </c>
      <c r="AH11" s="15" t="str">
        <f t="shared" si="1"/>
        <v>rokprognozy=2042 i lp=8</v>
      </c>
      <c r="AI11" s="15" t="str">
        <f t="shared" si="1"/>
        <v>rokprognozy=2043 i lp=8</v>
      </c>
      <c r="AJ11" s="15" t="str">
        <f t="shared" si="1"/>
        <v>rokprognozy=2044 i lp=8</v>
      </c>
      <c r="AK11" s="15" t="str">
        <f t="shared" si="1"/>
        <v>rokprognozy=2045 i lp=8</v>
      </c>
      <c r="AL11" s="15" t="str">
        <f t="shared" si="1"/>
        <v>rokprognozy=2046 i lp=8</v>
      </c>
      <c r="AM11" s="15" t="str">
        <f t="shared" si="1"/>
        <v>rokprognozy=2047 i lp=8</v>
      </c>
      <c r="AN11" s="15" t="str">
        <f t="shared" si="1"/>
        <v>rokprognozy=2048 i lp=8</v>
      </c>
      <c r="AO11" s="15" t="str">
        <f t="shared" si="1"/>
        <v>rokprognozy=2049 i lp=8</v>
      </c>
      <c r="AP11" s="15" t="str">
        <f t="shared" si="1"/>
        <v>rokprognozy=2050 i lp=8</v>
      </c>
    </row>
    <row r="12" spans="1:42">
      <c r="A12" s="5">
        <v>9</v>
      </c>
      <c r="B12" s="17" t="s">
        <v>41</v>
      </c>
      <c r="C12" s="1" t="s">
        <v>42</v>
      </c>
      <c r="D12" s="15" t="str">
        <f t="shared" si="2"/>
        <v>rokprognozy=2012 i lp=9</v>
      </c>
      <c r="E12" s="15" t="str">
        <f t="shared" si="2"/>
        <v>rokprognozy=2013 i lp=9</v>
      </c>
      <c r="F12" s="15" t="str">
        <f t="shared" si="2"/>
        <v>rokprognozy=2014 i lp=9</v>
      </c>
      <c r="G12" s="15" t="str">
        <f t="shared" si="2"/>
        <v>rokprognozy=2015 i lp=9</v>
      </c>
      <c r="H12" s="15" t="str">
        <f t="shared" si="2"/>
        <v>rokprognozy=2016 i lp=9</v>
      </c>
      <c r="I12" s="15" t="str">
        <f t="shared" si="2"/>
        <v>rokprognozy=2017 i lp=9</v>
      </c>
      <c r="J12" s="15" t="str">
        <f t="shared" si="2"/>
        <v>rokprognozy=2018 i lp=9</v>
      </c>
      <c r="K12" s="15" t="str">
        <f t="shared" si="2"/>
        <v>rokprognozy=2019 i lp=9</v>
      </c>
      <c r="L12" s="15" t="str">
        <f t="shared" si="2"/>
        <v>rokprognozy=2020 i lp=9</v>
      </c>
      <c r="M12" s="15" t="str">
        <f t="shared" si="0"/>
        <v>rokprognozy=2021 i lp=9</v>
      </c>
      <c r="N12" s="15" t="str">
        <f t="shared" si="0"/>
        <v>rokprognozy=2022 i lp=9</v>
      </c>
      <c r="O12" s="15" t="str">
        <f t="shared" si="0"/>
        <v>rokprognozy=2023 i lp=9</v>
      </c>
      <c r="P12" s="15" t="str">
        <f t="shared" si="0"/>
        <v>rokprognozy=2024 i lp=9</v>
      </c>
      <c r="Q12" s="15" t="str">
        <f t="shared" si="0"/>
        <v>rokprognozy=2025 i lp=9</v>
      </c>
      <c r="R12" s="15" t="str">
        <f t="shared" si="0"/>
        <v>rokprognozy=2026 i lp=9</v>
      </c>
      <c r="S12" s="15" t="str">
        <f t="shared" si="0"/>
        <v>rokprognozy=2027 i lp=9</v>
      </c>
      <c r="T12" s="15" t="str">
        <f t="shared" si="0"/>
        <v>rokprognozy=2028 i lp=9</v>
      </c>
      <c r="U12" s="15" t="str">
        <f t="shared" si="0"/>
        <v>rokprognozy=2029 i lp=9</v>
      </c>
      <c r="V12" s="15" t="str">
        <f t="shared" si="0"/>
        <v>rokprognozy=2030 i lp=9</v>
      </c>
      <c r="W12" s="15" t="str">
        <f t="shared" si="0"/>
        <v>rokprognozy=2031 i lp=9</v>
      </c>
      <c r="X12" s="15" t="str">
        <f t="shared" si="0"/>
        <v>rokprognozy=2032 i lp=9</v>
      </c>
      <c r="Y12" s="15" t="str">
        <f t="shared" si="0"/>
        <v>rokprognozy=2033 i lp=9</v>
      </c>
      <c r="Z12" s="15" t="str">
        <f t="shared" si="0"/>
        <v>rokprognozy=2034 i lp=9</v>
      </c>
      <c r="AA12" s="15" t="str">
        <f t="shared" si="0"/>
        <v>rokprognozy=2035 i lp=9</v>
      </c>
      <c r="AB12" s="15" t="str">
        <f t="shared" si="0"/>
        <v>rokprognozy=2036 i lp=9</v>
      </c>
      <c r="AC12" s="15" t="str">
        <f t="shared" si="0"/>
        <v>rokprognozy=2037 i lp=9</v>
      </c>
      <c r="AD12" s="15" t="str">
        <f t="shared" si="0"/>
        <v>rokprognozy=2038 i lp=9</v>
      </c>
      <c r="AE12" s="15" t="str">
        <f t="shared" si="0"/>
        <v>rokprognozy=2039 i lp=9</v>
      </c>
      <c r="AF12" s="15" t="str">
        <f t="shared" si="0"/>
        <v>rokprognozy=2040 i lp=9</v>
      </c>
      <c r="AG12" s="15" t="str">
        <f t="shared" si="1"/>
        <v>rokprognozy=2041 i lp=9</v>
      </c>
      <c r="AH12" s="15" t="str">
        <f t="shared" si="1"/>
        <v>rokprognozy=2042 i lp=9</v>
      </c>
      <c r="AI12" s="15" t="str">
        <f t="shared" si="1"/>
        <v>rokprognozy=2043 i lp=9</v>
      </c>
      <c r="AJ12" s="15" t="str">
        <f t="shared" si="1"/>
        <v>rokprognozy=2044 i lp=9</v>
      </c>
      <c r="AK12" s="15" t="str">
        <f t="shared" si="1"/>
        <v>rokprognozy=2045 i lp=9</v>
      </c>
      <c r="AL12" s="15" t="str">
        <f t="shared" si="1"/>
        <v>rokprognozy=2046 i lp=9</v>
      </c>
      <c r="AM12" s="15" t="str">
        <f t="shared" si="1"/>
        <v>rokprognozy=2047 i lp=9</v>
      </c>
      <c r="AN12" s="15" t="str">
        <f t="shared" si="1"/>
        <v>rokprognozy=2048 i lp=9</v>
      </c>
      <c r="AO12" s="15" t="str">
        <f t="shared" si="1"/>
        <v>rokprognozy=2049 i lp=9</v>
      </c>
      <c r="AP12" s="15" t="str">
        <f t="shared" si="1"/>
        <v>rokprognozy=2050 i lp=9</v>
      </c>
    </row>
    <row r="13" spans="1:42" ht="14.25" customHeight="1">
      <c r="A13" s="5">
        <v>10</v>
      </c>
      <c r="B13" s="17" t="s">
        <v>43</v>
      </c>
      <c r="C13" s="1" t="s">
        <v>44</v>
      </c>
      <c r="D13" s="15" t="str">
        <f t="shared" si="2"/>
        <v>rokprognozy=2012 i lp=10</v>
      </c>
      <c r="E13" s="15" t="str">
        <f t="shared" si="2"/>
        <v>rokprognozy=2013 i lp=10</v>
      </c>
      <c r="F13" s="15" t="str">
        <f t="shared" si="2"/>
        <v>rokprognozy=2014 i lp=10</v>
      </c>
      <c r="G13" s="15" t="str">
        <f t="shared" si="2"/>
        <v>rokprognozy=2015 i lp=10</v>
      </c>
      <c r="H13" s="15" t="str">
        <f t="shared" si="2"/>
        <v>rokprognozy=2016 i lp=10</v>
      </c>
      <c r="I13" s="15" t="str">
        <f t="shared" si="2"/>
        <v>rokprognozy=2017 i lp=10</v>
      </c>
      <c r="J13" s="15" t="str">
        <f t="shared" si="2"/>
        <v>rokprognozy=2018 i lp=10</v>
      </c>
      <c r="K13" s="15" t="str">
        <f t="shared" si="2"/>
        <v>rokprognozy=2019 i lp=10</v>
      </c>
      <c r="L13" s="15" t="str">
        <f t="shared" si="2"/>
        <v>rokprognozy=2020 i lp=10</v>
      </c>
      <c r="M13" s="15" t="str">
        <f t="shared" si="0"/>
        <v>rokprognozy=2021 i lp=10</v>
      </c>
      <c r="N13" s="15" t="str">
        <f t="shared" si="0"/>
        <v>rokprognozy=2022 i lp=10</v>
      </c>
      <c r="O13" s="15" t="str">
        <f t="shared" si="0"/>
        <v>rokprognozy=2023 i lp=10</v>
      </c>
      <c r="P13" s="15" t="str">
        <f t="shared" si="0"/>
        <v>rokprognozy=2024 i lp=10</v>
      </c>
      <c r="Q13" s="15" t="str">
        <f t="shared" si="0"/>
        <v>rokprognozy=2025 i lp=10</v>
      </c>
      <c r="R13" s="15" t="str">
        <f t="shared" si="0"/>
        <v>rokprognozy=2026 i lp=10</v>
      </c>
      <c r="S13" s="15" t="str">
        <f t="shared" si="0"/>
        <v>rokprognozy=2027 i lp=10</v>
      </c>
      <c r="T13" s="15" t="str">
        <f t="shared" si="0"/>
        <v>rokprognozy=2028 i lp=10</v>
      </c>
      <c r="U13" s="15" t="str">
        <f t="shared" si="0"/>
        <v>rokprognozy=2029 i lp=10</v>
      </c>
      <c r="V13" s="15" t="str">
        <f t="shared" si="0"/>
        <v>rokprognozy=2030 i lp=10</v>
      </c>
      <c r="W13" s="15" t="str">
        <f t="shared" si="0"/>
        <v>rokprognozy=2031 i lp=10</v>
      </c>
      <c r="X13" s="15" t="str">
        <f t="shared" si="0"/>
        <v>rokprognozy=2032 i lp=10</v>
      </c>
      <c r="Y13" s="15" t="str">
        <f t="shared" si="0"/>
        <v>rokprognozy=2033 i lp=10</v>
      </c>
      <c r="Z13" s="15" t="str">
        <f t="shared" si="0"/>
        <v>rokprognozy=2034 i lp=10</v>
      </c>
      <c r="AA13" s="15" t="str">
        <f t="shared" si="0"/>
        <v>rokprognozy=2035 i lp=10</v>
      </c>
      <c r="AB13" s="15" t="str">
        <f t="shared" si="0"/>
        <v>rokprognozy=2036 i lp=10</v>
      </c>
      <c r="AC13" s="15" t="str">
        <f t="shared" si="0"/>
        <v>rokprognozy=2037 i lp=10</v>
      </c>
      <c r="AD13" s="15" t="str">
        <f t="shared" si="0"/>
        <v>rokprognozy=2038 i lp=10</v>
      </c>
      <c r="AE13" s="15" t="str">
        <f t="shared" si="0"/>
        <v>rokprognozy=2039 i lp=10</v>
      </c>
      <c r="AF13" s="15" t="str">
        <f t="shared" si="0"/>
        <v>rokprognozy=2040 i lp=10</v>
      </c>
      <c r="AG13" s="15" t="str">
        <f t="shared" si="1"/>
        <v>rokprognozy=2041 i lp=10</v>
      </c>
      <c r="AH13" s="15" t="str">
        <f t="shared" si="1"/>
        <v>rokprognozy=2042 i lp=10</v>
      </c>
      <c r="AI13" s="15" t="str">
        <f t="shared" si="1"/>
        <v>rokprognozy=2043 i lp=10</v>
      </c>
      <c r="AJ13" s="15" t="str">
        <f t="shared" si="1"/>
        <v>rokprognozy=2044 i lp=10</v>
      </c>
      <c r="AK13" s="15" t="str">
        <f t="shared" si="1"/>
        <v>rokprognozy=2045 i lp=10</v>
      </c>
      <c r="AL13" s="15" t="str">
        <f t="shared" si="1"/>
        <v>rokprognozy=2046 i lp=10</v>
      </c>
      <c r="AM13" s="15" t="str">
        <f t="shared" si="1"/>
        <v>rokprognozy=2047 i lp=10</v>
      </c>
      <c r="AN13" s="15" t="str">
        <f t="shared" si="1"/>
        <v>rokprognozy=2048 i lp=10</v>
      </c>
      <c r="AO13" s="15" t="str">
        <f t="shared" si="1"/>
        <v>rokprognozy=2049 i lp=10</v>
      </c>
      <c r="AP13" s="15" t="str">
        <f t="shared" si="1"/>
        <v>rokprognozy=2050 i lp=10</v>
      </c>
    </row>
    <row r="14" spans="1:42" ht="14.25" customHeight="1">
      <c r="A14" s="7">
        <v>11</v>
      </c>
      <c r="B14" s="17" t="s">
        <v>45</v>
      </c>
      <c r="C14" s="23" t="s">
        <v>46</v>
      </c>
      <c r="D14" s="15" t="str">
        <f t="shared" si="2"/>
        <v>rokprognozy=2012 i lp=11</v>
      </c>
      <c r="E14" s="15" t="str">
        <f t="shared" si="2"/>
        <v>rokprognozy=2013 i lp=11</v>
      </c>
      <c r="F14" s="15" t="str">
        <f t="shared" si="2"/>
        <v>rokprognozy=2014 i lp=11</v>
      </c>
      <c r="G14" s="15" t="str">
        <f t="shared" si="2"/>
        <v>rokprognozy=2015 i lp=11</v>
      </c>
      <c r="H14" s="15" t="str">
        <f t="shared" si="2"/>
        <v>rokprognozy=2016 i lp=11</v>
      </c>
      <c r="I14" s="15" t="str">
        <f t="shared" si="2"/>
        <v>rokprognozy=2017 i lp=11</v>
      </c>
      <c r="J14" s="15" t="str">
        <f t="shared" si="2"/>
        <v>rokprognozy=2018 i lp=11</v>
      </c>
      <c r="K14" s="15" t="str">
        <f t="shared" si="2"/>
        <v>rokprognozy=2019 i lp=11</v>
      </c>
      <c r="L14" s="15" t="str">
        <f t="shared" si="2"/>
        <v>rokprognozy=2020 i lp=11</v>
      </c>
      <c r="M14" s="15" t="str">
        <f t="shared" si="0"/>
        <v>rokprognozy=2021 i lp=11</v>
      </c>
      <c r="N14" s="15" t="str">
        <f t="shared" si="0"/>
        <v>rokprognozy=2022 i lp=11</v>
      </c>
      <c r="O14" s="15" t="str">
        <f t="shared" si="0"/>
        <v>rokprognozy=2023 i lp=11</v>
      </c>
      <c r="P14" s="15" t="str">
        <f t="shared" si="0"/>
        <v>rokprognozy=2024 i lp=11</v>
      </c>
      <c r="Q14" s="15" t="str">
        <f t="shared" si="0"/>
        <v>rokprognozy=2025 i lp=11</v>
      </c>
      <c r="R14" s="15" t="str">
        <f t="shared" si="0"/>
        <v>rokprognozy=2026 i lp=11</v>
      </c>
      <c r="S14" s="15" t="str">
        <f t="shared" si="0"/>
        <v>rokprognozy=2027 i lp=11</v>
      </c>
      <c r="T14" s="15" t="str">
        <f t="shared" si="0"/>
        <v>rokprognozy=2028 i lp=11</v>
      </c>
      <c r="U14" s="15" t="str">
        <f t="shared" si="0"/>
        <v>rokprognozy=2029 i lp=11</v>
      </c>
      <c r="V14" s="15" t="str">
        <f t="shared" si="0"/>
        <v>rokprognozy=2030 i lp=11</v>
      </c>
      <c r="W14" s="15" t="str">
        <f t="shared" si="0"/>
        <v>rokprognozy=2031 i lp=11</v>
      </c>
      <c r="X14" s="15" t="str">
        <f t="shared" si="0"/>
        <v>rokprognozy=2032 i lp=11</v>
      </c>
      <c r="Y14" s="15" t="str">
        <f t="shared" si="0"/>
        <v>rokprognozy=2033 i lp=11</v>
      </c>
      <c r="Z14" s="15" t="str">
        <f t="shared" si="0"/>
        <v>rokprognozy=2034 i lp=11</v>
      </c>
      <c r="AA14" s="15" t="str">
        <f t="shared" si="0"/>
        <v>rokprognozy=2035 i lp=11</v>
      </c>
      <c r="AB14" s="15" t="str">
        <f t="shared" si="0"/>
        <v>rokprognozy=2036 i lp=11</v>
      </c>
      <c r="AC14" s="15" t="str">
        <f t="shared" si="0"/>
        <v>rokprognozy=2037 i lp=11</v>
      </c>
      <c r="AD14" s="15" t="str">
        <f t="shared" si="0"/>
        <v>rokprognozy=2038 i lp=11</v>
      </c>
      <c r="AE14" s="15" t="str">
        <f t="shared" si="0"/>
        <v>rokprognozy=2039 i lp=11</v>
      </c>
      <c r="AF14" s="15" t="str">
        <f t="shared" si="0"/>
        <v>rokprognozy=2040 i lp=11</v>
      </c>
      <c r="AG14" s="15" t="str">
        <f t="shared" si="1"/>
        <v>rokprognozy=2041 i lp=11</v>
      </c>
      <c r="AH14" s="15" t="str">
        <f t="shared" si="1"/>
        <v>rokprognozy=2042 i lp=11</v>
      </c>
      <c r="AI14" s="15" t="str">
        <f t="shared" si="1"/>
        <v>rokprognozy=2043 i lp=11</v>
      </c>
      <c r="AJ14" s="15" t="str">
        <f t="shared" si="1"/>
        <v>rokprognozy=2044 i lp=11</v>
      </c>
      <c r="AK14" s="15" t="str">
        <f t="shared" si="1"/>
        <v>rokprognozy=2045 i lp=11</v>
      </c>
      <c r="AL14" s="15" t="str">
        <f t="shared" si="1"/>
        <v>rokprognozy=2046 i lp=11</v>
      </c>
      <c r="AM14" s="15" t="str">
        <f t="shared" si="1"/>
        <v>rokprognozy=2047 i lp=11</v>
      </c>
      <c r="AN14" s="15" t="str">
        <f t="shared" si="1"/>
        <v>rokprognozy=2048 i lp=11</v>
      </c>
      <c r="AO14" s="15" t="str">
        <f t="shared" si="1"/>
        <v>rokprognozy=2049 i lp=11</v>
      </c>
      <c r="AP14" s="15" t="str">
        <f t="shared" si="1"/>
        <v>rokprognozy=2050 i lp=11</v>
      </c>
    </row>
    <row r="15" spans="1:42" ht="14.25" customHeight="1">
      <c r="A15" s="6">
        <v>12</v>
      </c>
      <c r="B15" s="17" t="s">
        <v>47</v>
      </c>
      <c r="C15" s="19" t="s">
        <v>48</v>
      </c>
      <c r="D15" s="15" t="str">
        <f t="shared" si="2"/>
        <v>rokprognozy=2012 i lp=12</v>
      </c>
      <c r="E15" s="15" t="str">
        <f t="shared" si="2"/>
        <v>rokprognozy=2013 i lp=12</v>
      </c>
      <c r="F15" s="15" t="str">
        <f t="shared" si="2"/>
        <v>rokprognozy=2014 i lp=12</v>
      </c>
      <c r="G15" s="15" t="str">
        <f t="shared" si="2"/>
        <v>rokprognozy=2015 i lp=12</v>
      </c>
      <c r="H15" s="15" t="str">
        <f t="shared" si="2"/>
        <v>rokprognozy=2016 i lp=12</v>
      </c>
      <c r="I15" s="15" t="str">
        <f t="shared" si="2"/>
        <v>rokprognozy=2017 i lp=12</v>
      </c>
      <c r="J15" s="15" t="str">
        <f t="shared" si="2"/>
        <v>rokprognozy=2018 i lp=12</v>
      </c>
      <c r="K15" s="15" t="str">
        <f t="shared" si="2"/>
        <v>rokprognozy=2019 i lp=12</v>
      </c>
      <c r="L15" s="15" t="str">
        <f t="shared" si="2"/>
        <v>rokprognozy=2020 i lp=12</v>
      </c>
      <c r="M15" s="15" t="str">
        <f t="shared" si="0"/>
        <v>rokprognozy=2021 i lp=12</v>
      </c>
      <c r="N15" s="15" t="str">
        <f t="shared" si="0"/>
        <v>rokprognozy=2022 i lp=12</v>
      </c>
      <c r="O15" s="15" t="str">
        <f t="shared" si="0"/>
        <v>rokprognozy=2023 i lp=12</v>
      </c>
      <c r="P15" s="15" t="str">
        <f t="shared" si="0"/>
        <v>rokprognozy=2024 i lp=12</v>
      </c>
      <c r="Q15" s="15" t="str">
        <f t="shared" si="0"/>
        <v>rokprognozy=2025 i lp=12</v>
      </c>
      <c r="R15" s="15" t="str">
        <f t="shared" si="0"/>
        <v>rokprognozy=2026 i lp=12</v>
      </c>
      <c r="S15" s="15" t="str">
        <f t="shared" si="0"/>
        <v>rokprognozy=2027 i lp=12</v>
      </c>
      <c r="T15" s="15" t="str">
        <f t="shared" si="0"/>
        <v>rokprognozy=2028 i lp=12</v>
      </c>
      <c r="U15" s="15" t="str">
        <f t="shared" si="0"/>
        <v>rokprognozy=2029 i lp=12</v>
      </c>
      <c r="V15" s="15" t="str">
        <f t="shared" si="0"/>
        <v>rokprognozy=2030 i lp=12</v>
      </c>
      <c r="W15" s="15" t="str">
        <f t="shared" si="0"/>
        <v>rokprognozy=2031 i lp=12</v>
      </c>
      <c r="X15" s="15" t="str">
        <f t="shared" si="0"/>
        <v>rokprognozy=2032 i lp=12</v>
      </c>
      <c r="Y15" s="15" t="str">
        <f t="shared" si="0"/>
        <v>rokprognozy=2033 i lp=12</v>
      </c>
      <c r="Z15" s="15" t="str">
        <f t="shared" si="0"/>
        <v>rokprognozy=2034 i lp=12</v>
      </c>
      <c r="AA15" s="15" t="str">
        <f t="shared" si="0"/>
        <v>rokprognozy=2035 i lp=12</v>
      </c>
      <c r="AB15" s="15" t="str">
        <f t="shared" si="0"/>
        <v>rokprognozy=2036 i lp=12</v>
      </c>
      <c r="AC15" s="15" t="str">
        <f t="shared" si="0"/>
        <v>rokprognozy=2037 i lp=12</v>
      </c>
      <c r="AD15" s="15" t="str">
        <f t="shared" si="0"/>
        <v>rokprognozy=2038 i lp=12</v>
      </c>
      <c r="AE15" s="15" t="str">
        <f t="shared" si="0"/>
        <v>rokprognozy=2039 i lp=12</v>
      </c>
      <c r="AF15" s="15" t="str">
        <f t="shared" si="0"/>
        <v>rokprognozy=2040 i lp=12</v>
      </c>
      <c r="AG15" s="15" t="str">
        <f t="shared" si="1"/>
        <v>rokprognozy=2041 i lp=12</v>
      </c>
      <c r="AH15" s="15" t="str">
        <f t="shared" si="1"/>
        <v>rokprognozy=2042 i lp=12</v>
      </c>
      <c r="AI15" s="15" t="str">
        <f t="shared" si="1"/>
        <v>rokprognozy=2043 i lp=12</v>
      </c>
      <c r="AJ15" s="15" t="str">
        <f t="shared" si="1"/>
        <v>rokprognozy=2044 i lp=12</v>
      </c>
      <c r="AK15" s="15" t="str">
        <f t="shared" si="1"/>
        <v>rokprognozy=2045 i lp=12</v>
      </c>
      <c r="AL15" s="15" t="str">
        <f t="shared" si="1"/>
        <v>rokprognozy=2046 i lp=12</v>
      </c>
      <c r="AM15" s="15" t="str">
        <f t="shared" si="1"/>
        <v>rokprognozy=2047 i lp=12</v>
      </c>
      <c r="AN15" s="15" t="str">
        <f t="shared" si="1"/>
        <v>rokprognozy=2048 i lp=12</v>
      </c>
      <c r="AO15" s="15" t="str">
        <f t="shared" si="1"/>
        <v>rokprognozy=2049 i lp=12</v>
      </c>
      <c r="AP15" s="15" t="str">
        <f t="shared" si="1"/>
        <v>rokprognozy=2050 i lp=12</v>
      </c>
    </row>
    <row r="16" spans="1:42" ht="14.25" customHeight="1">
      <c r="A16" s="5">
        <v>13</v>
      </c>
      <c r="B16" s="17" t="s">
        <v>49</v>
      </c>
      <c r="C16" s="1" t="s">
        <v>50</v>
      </c>
      <c r="D16" s="15" t="str">
        <f t="shared" si="2"/>
        <v>rokprognozy=2012 i lp=13</v>
      </c>
      <c r="E16" s="15" t="str">
        <f t="shared" si="2"/>
        <v>rokprognozy=2013 i lp=13</v>
      </c>
      <c r="F16" s="15" t="str">
        <f t="shared" si="2"/>
        <v>rokprognozy=2014 i lp=13</v>
      </c>
      <c r="G16" s="15" t="str">
        <f t="shared" si="2"/>
        <v>rokprognozy=2015 i lp=13</v>
      </c>
      <c r="H16" s="15" t="str">
        <f t="shared" si="2"/>
        <v>rokprognozy=2016 i lp=13</v>
      </c>
      <c r="I16" s="15" t="str">
        <f t="shared" si="2"/>
        <v>rokprognozy=2017 i lp=13</v>
      </c>
      <c r="J16" s="15" t="str">
        <f t="shared" si="2"/>
        <v>rokprognozy=2018 i lp=13</v>
      </c>
      <c r="K16" s="15" t="str">
        <f t="shared" si="2"/>
        <v>rokprognozy=2019 i lp=13</v>
      </c>
      <c r="L16" s="15" t="str">
        <f t="shared" si="2"/>
        <v>rokprognozy=2020 i lp=13</v>
      </c>
      <c r="M16" s="15" t="str">
        <f t="shared" si="0"/>
        <v>rokprognozy=2021 i lp=13</v>
      </c>
      <c r="N16" s="15" t="str">
        <f t="shared" si="0"/>
        <v>rokprognozy=2022 i lp=13</v>
      </c>
      <c r="O16" s="15" t="str">
        <f t="shared" si="0"/>
        <v>rokprognozy=2023 i lp=13</v>
      </c>
      <c r="P16" s="15" t="str">
        <f t="shared" si="0"/>
        <v>rokprognozy=2024 i lp=13</v>
      </c>
      <c r="Q16" s="15" t="str">
        <f t="shared" si="0"/>
        <v>rokprognozy=2025 i lp=13</v>
      </c>
      <c r="R16" s="15" t="str">
        <f t="shared" si="0"/>
        <v>rokprognozy=2026 i lp=13</v>
      </c>
      <c r="S16" s="15" t="str">
        <f t="shared" ref="S16:AP16" si="3">+"rokprognozy="&amp;S$3&amp;" i lp="&amp;$A16</f>
        <v>rokprognozy=2027 i lp=13</v>
      </c>
      <c r="T16" s="15" t="str">
        <f t="shared" si="3"/>
        <v>rokprognozy=2028 i lp=13</v>
      </c>
      <c r="U16" s="15" t="str">
        <f t="shared" si="3"/>
        <v>rokprognozy=2029 i lp=13</v>
      </c>
      <c r="V16" s="15" t="str">
        <f t="shared" si="3"/>
        <v>rokprognozy=2030 i lp=13</v>
      </c>
      <c r="W16" s="15" t="str">
        <f t="shared" si="3"/>
        <v>rokprognozy=2031 i lp=13</v>
      </c>
      <c r="X16" s="15" t="str">
        <f t="shared" si="3"/>
        <v>rokprognozy=2032 i lp=13</v>
      </c>
      <c r="Y16" s="15" t="str">
        <f t="shared" si="3"/>
        <v>rokprognozy=2033 i lp=13</v>
      </c>
      <c r="Z16" s="15" t="str">
        <f t="shared" si="3"/>
        <v>rokprognozy=2034 i lp=13</v>
      </c>
      <c r="AA16" s="15" t="str">
        <f t="shared" si="3"/>
        <v>rokprognozy=2035 i lp=13</v>
      </c>
      <c r="AB16" s="15" t="str">
        <f t="shared" si="3"/>
        <v>rokprognozy=2036 i lp=13</v>
      </c>
      <c r="AC16" s="15" t="str">
        <f t="shared" si="3"/>
        <v>rokprognozy=2037 i lp=13</v>
      </c>
      <c r="AD16" s="15" t="str">
        <f t="shared" si="3"/>
        <v>rokprognozy=2038 i lp=13</v>
      </c>
      <c r="AE16" s="15" t="str">
        <f t="shared" si="3"/>
        <v>rokprognozy=2039 i lp=13</v>
      </c>
      <c r="AF16" s="15" t="str">
        <f t="shared" si="3"/>
        <v>rokprognozy=2040 i lp=13</v>
      </c>
      <c r="AG16" s="15" t="str">
        <f t="shared" si="3"/>
        <v>rokprognozy=2041 i lp=13</v>
      </c>
      <c r="AH16" s="15" t="str">
        <f t="shared" si="3"/>
        <v>rokprognozy=2042 i lp=13</v>
      </c>
      <c r="AI16" s="15" t="str">
        <f t="shared" si="3"/>
        <v>rokprognozy=2043 i lp=13</v>
      </c>
      <c r="AJ16" s="15" t="str">
        <f t="shared" si="3"/>
        <v>rokprognozy=2044 i lp=13</v>
      </c>
      <c r="AK16" s="15" t="str">
        <f t="shared" si="3"/>
        <v>rokprognozy=2045 i lp=13</v>
      </c>
      <c r="AL16" s="15" t="str">
        <f t="shared" si="3"/>
        <v>rokprognozy=2046 i lp=13</v>
      </c>
      <c r="AM16" s="15" t="str">
        <f t="shared" si="3"/>
        <v>rokprognozy=2047 i lp=13</v>
      </c>
      <c r="AN16" s="15" t="str">
        <f t="shared" si="3"/>
        <v>rokprognozy=2048 i lp=13</v>
      </c>
      <c r="AO16" s="15" t="str">
        <f t="shared" si="3"/>
        <v>rokprognozy=2049 i lp=13</v>
      </c>
      <c r="AP16" s="15" t="str">
        <f t="shared" si="3"/>
        <v>rokprognozy=2050 i lp=13</v>
      </c>
    </row>
    <row r="17" spans="1:42" ht="14.25" customHeight="1">
      <c r="A17" s="6">
        <v>14</v>
      </c>
      <c r="B17" s="17">
        <v>3</v>
      </c>
      <c r="C17" s="19" t="s">
        <v>51</v>
      </c>
      <c r="D17" s="15" t="str">
        <f t="shared" si="2"/>
        <v>rokprognozy=2012 i lp=14</v>
      </c>
      <c r="E17" s="15" t="str">
        <f t="shared" si="2"/>
        <v>rokprognozy=2013 i lp=14</v>
      </c>
      <c r="F17" s="15" t="str">
        <f t="shared" si="2"/>
        <v>rokprognozy=2014 i lp=14</v>
      </c>
      <c r="G17" s="15" t="str">
        <f t="shared" si="2"/>
        <v>rokprognozy=2015 i lp=14</v>
      </c>
      <c r="H17" s="15" t="str">
        <f t="shared" si="2"/>
        <v>rokprognozy=2016 i lp=14</v>
      </c>
      <c r="I17" s="15" t="str">
        <f t="shared" si="2"/>
        <v>rokprognozy=2017 i lp=14</v>
      </c>
      <c r="J17" s="15" t="str">
        <f t="shared" si="2"/>
        <v>rokprognozy=2018 i lp=14</v>
      </c>
      <c r="K17" s="15" t="str">
        <f t="shared" si="2"/>
        <v>rokprognozy=2019 i lp=14</v>
      </c>
      <c r="L17" s="15" t="str">
        <f t="shared" si="2"/>
        <v>rokprognozy=2020 i lp=14</v>
      </c>
      <c r="M17" s="15" t="str">
        <f t="shared" ref="M17:AB32" si="4">+"rokprognozy="&amp;M$3&amp;" i lp="&amp;$A17</f>
        <v>rokprognozy=2021 i lp=14</v>
      </c>
      <c r="N17" s="15" t="str">
        <f t="shared" si="4"/>
        <v>rokprognozy=2022 i lp=14</v>
      </c>
      <c r="O17" s="15" t="str">
        <f t="shared" si="4"/>
        <v>rokprognozy=2023 i lp=14</v>
      </c>
      <c r="P17" s="15" t="str">
        <f t="shared" si="4"/>
        <v>rokprognozy=2024 i lp=14</v>
      </c>
      <c r="Q17" s="15" t="str">
        <f t="shared" si="4"/>
        <v>rokprognozy=2025 i lp=14</v>
      </c>
      <c r="R17" s="15" t="str">
        <f t="shared" si="4"/>
        <v>rokprognozy=2026 i lp=14</v>
      </c>
      <c r="S17" s="15" t="str">
        <f t="shared" si="4"/>
        <v>rokprognozy=2027 i lp=14</v>
      </c>
      <c r="T17" s="15" t="str">
        <f t="shared" si="4"/>
        <v>rokprognozy=2028 i lp=14</v>
      </c>
      <c r="U17" s="15" t="str">
        <f t="shared" si="4"/>
        <v>rokprognozy=2029 i lp=14</v>
      </c>
      <c r="V17" s="15" t="str">
        <f t="shared" si="4"/>
        <v>rokprognozy=2030 i lp=14</v>
      </c>
      <c r="W17" s="15" t="str">
        <f t="shared" si="4"/>
        <v>rokprognozy=2031 i lp=14</v>
      </c>
      <c r="X17" s="15" t="str">
        <f t="shared" si="4"/>
        <v>rokprognozy=2032 i lp=14</v>
      </c>
      <c r="Y17" s="15" t="str">
        <f t="shared" si="4"/>
        <v>rokprognozy=2033 i lp=14</v>
      </c>
      <c r="Z17" s="15" t="str">
        <f t="shared" si="4"/>
        <v>rokprognozy=2034 i lp=14</v>
      </c>
      <c r="AA17" s="15" t="str">
        <f t="shared" si="4"/>
        <v>rokprognozy=2035 i lp=14</v>
      </c>
      <c r="AB17" s="15" t="str">
        <f t="shared" si="4"/>
        <v>rokprognozy=2036 i lp=14</v>
      </c>
      <c r="AC17" s="15" t="str">
        <f t="shared" ref="AC17:AP33" si="5">+"rokprognozy="&amp;AC$3&amp;" i lp="&amp;$A17</f>
        <v>rokprognozy=2037 i lp=14</v>
      </c>
      <c r="AD17" s="15" t="str">
        <f t="shared" si="5"/>
        <v>rokprognozy=2038 i lp=14</v>
      </c>
      <c r="AE17" s="15" t="str">
        <f t="shared" si="5"/>
        <v>rokprognozy=2039 i lp=14</v>
      </c>
      <c r="AF17" s="15" t="str">
        <f t="shared" si="5"/>
        <v>rokprognozy=2040 i lp=14</v>
      </c>
      <c r="AG17" s="15" t="str">
        <f t="shared" si="5"/>
        <v>rokprognozy=2041 i lp=14</v>
      </c>
      <c r="AH17" s="15" t="str">
        <f t="shared" si="5"/>
        <v>rokprognozy=2042 i lp=14</v>
      </c>
      <c r="AI17" s="15" t="str">
        <f t="shared" si="5"/>
        <v>rokprognozy=2043 i lp=14</v>
      </c>
      <c r="AJ17" s="15" t="str">
        <f t="shared" si="5"/>
        <v>rokprognozy=2044 i lp=14</v>
      </c>
      <c r="AK17" s="15" t="str">
        <f t="shared" si="5"/>
        <v>rokprognozy=2045 i lp=14</v>
      </c>
      <c r="AL17" s="15" t="str">
        <f t="shared" si="5"/>
        <v>rokprognozy=2046 i lp=14</v>
      </c>
      <c r="AM17" s="15" t="str">
        <f t="shared" si="5"/>
        <v>rokprognozy=2047 i lp=14</v>
      </c>
      <c r="AN17" s="15" t="str">
        <f t="shared" si="5"/>
        <v>rokprognozy=2048 i lp=14</v>
      </c>
      <c r="AO17" s="15" t="str">
        <f t="shared" si="5"/>
        <v>rokprognozy=2049 i lp=14</v>
      </c>
      <c r="AP17" s="15" t="str">
        <f t="shared" si="5"/>
        <v>rokprognozy=2050 i lp=14</v>
      </c>
    </row>
    <row r="18" spans="1:42" ht="14.25" customHeight="1">
      <c r="A18" s="7">
        <v>15</v>
      </c>
      <c r="B18" s="17">
        <v>4</v>
      </c>
      <c r="C18" s="18" t="s">
        <v>14</v>
      </c>
      <c r="D18" s="15" t="str">
        <f t="shared" si="2"/>
        <v>rokprognozy=2012 i lp=15</v>
      </c>
      <c r="E18" s="15" t="str">
        <f t="shared" si="2"/>
        <v>rokprognozy=2013 i lp=15</v>
      </c>
      <c r="F18" s="15" t="str">
        <f t="shared" si="2"/>
        <v>rokprognozy=2014 i lp=15</v>
      </c>
      <c r="G18" s="15" t="str">
        <f t="shared" si="2"/>
        <v>rokprognozy=2015 i lp=15</v>
      </c>
      <c r="H18" s="15" t="str">
        <f t="shared" si="2"/>
        <v>rokprognozy=2016 i lp=15</v>
      </c>
      <c r="I18" s="15" t="str">
        <f t="shared" si="2"/>
        <v>rokprognozy=2017 i lp=15</v>
      </c>
      <c r="J18" s="15" t="str">
        <f t="shared" si="2"/>
        <v>rokprognozy=2018 i lp=15</v>
      </c>
      <c r="K18" s="15" t="str">
        <f t="shared" si="2"/>
        <v>rokprognozy=2019 i lp=15</v>
      </c>
      <c r="L18" s="15" t="str">
        <f t="shared" si="2"/>
        <v>rokprognozy=2020 i lp=15</v>
      </c>
      <c r="M18" s="15" t="str">
        <f t="shared" si="4"/>
        <v>rokprognozy=2021 i lp=15</v>
      </c>
      <c r="N18" s="15" t="str">
        <f t="shared" si="4"/>
        <v>rokprognozy=2022 i lp=15</v>
      </c>
      <c r="O18" s="15" t="str">
        <f t="shared" si="4"/>
        <v>rokprognozy=2023 i lp=15</v>
      </c>
      <c r="P18" s="15" t="str">
        <f t="shared" si="4"/>
        <v>rokprognozy=2024 i lp=15</v>
      </c>
      <c r="Q18" s="15" t="str">
        <f t="shared" si="4"/>
        <v>rokprognozy=2025 i lp=15</v>
      </c>
      <c r="R18" s="15" t="str">
        <f t="shared" si="4"/>
        <v>rokprognozy=2026 i lp=15</v>
      </c>
      <c r="S18" s="15" t="str">
        <f t="shared" si="4"/>
        <v>rokprognozy=2027 i lp=15</v>
      </c>
      <c r="T18" s="15" t="str">
        <f t="shared" si="4"/>
        <v>rokprognozy=2028 i lp=15</v>
      </c>
      <c r="U18" s="15" t="str">
        <f t="shared" si="4"/>
        <v>rokprognozy=2029 i lp=15</v>
      </c>
      <c r="V18" s="15" t="str">
        <f t="shared" si="4"/>
        <v>rokprognozy=2030 i lp=15</v>
      </c>
      <c r="W18" s="15" t="str">
        <f t="shared" si="4"/>
        <v>rokprognozy=2031 i lp=15</v>
      </c>
      <c r="X18" s="15" t="str">
        <f t="shared" si="4"/>
        <v>rokprognozy=2032 i lp=15</v>
      </c>
      <c r="Y18" s="15" t="str">
        <f t="shared" si="4"/>
        <v>rokprognozy=2033 i lp=15</v>
      </c>
      <c r="Z18" s="15" t="str">
        <f t="shared" si="4"/>
        <v>rokprognozy=2034 i lp=15</v>
      </c>
      <c r="AA18" s="15" t="str">
        <f t="shared" si="4"/>
        <v>rokprognozy=2035 i lp=15</v>
      </c>
      <c r="AB18" s="15" t="str">
        <f t="shared" si="4"/>
        <v>rokprognozy=2036 i lp=15</v>
      </c>
      <c r="AC18" s="15" t="str">
        <f t="shared" si="5"/>
        <v>rokprognozy=2037 i lp=15</v>
      </c>
      <c r="AD18" s="15" t="str">
        <f t="shared" si="5"/>
        <v>rokprognozy=2038 i lp=15</v>
      </c>
      <c r="AE18" s="15" t="str">
        <f t="shared" si="5"/>
        <v>rokprognozy=2039 i lp=15</v>
      </c>
      <c r="AF18" s="15" t="str">
        <f t="shared" si="5"/>
        <v>rokprognozy=2040 i lp=15</v>
      </c>
      <c r="AG18" s="15" t="str">
        <f t="shared" si="5"/>
        <v>rokprognozy=2041 i lp=15</v>
      </c>
      <c r="AH18" s="15" t="str">
        <f t="shared" si="5"/>
        <v>rokprognozy=2042 i lp=15</v>
      </c>
      <c r="AI18" s="15" t="str">
        <f t="shared" si="5"/>
        <v>rokprognozy=2043 i lp=15</v>
      </c>
      <c r="AJ18" s="15" t="str">
        <f t="shared" si="5"/>
        <v>rokprognozy=2044 i lp=15</v>
      </c>
      <c r="AK18" s="15" t="str">
        <f t="shared" si="5"/>
        <v>rokprognozy=2045 i lp=15</v>
      </c>
      <c r="AL18" s="15" t="str">
        <f t="shared" si="5"/>
        <v>rokprognozy=2046 i lp=15</v>
      </c>
      <c r="AM18" s="15" t="str">
        <f t="shared" si="5"/>
        <v>rokprognozy=2047 i lp=15</v>
      </c>
      <c r="AN18" s="15" t="str">
        <f t="shared" si="5"/>
        <v>rokprognozy=2048 i lp=15</v>
      </c>
      <c r="AO18" s="15" t="str">
        <f t="shared" si="5"/>
        <v>rokprognozy=2049 i lp=15</v>
      </c>
      <c r="AP18" s="15" t="str">
        <f t="shared" si="5"/>
        <v>rokprognozy=2050 i lp=15</v>
      </c>
    </row>
    <row r="19" spans="1:42" ht="14.25" customHeight="1">
      <c r="A19" s="6">
        <v>16</v>
      </c>
      <c r="B19" s="17" t="s">
        <v>52</v>
      </c>
      <c r="C19" s="20" t="s">
        <v>53</v>
      </c>
      <c r="D19" s="15" t="str">
        <f t="shared" si="2"/>
        <v>rokprognozy=2012 i lp=16</v>
      </c>
      <c r="E19" s="15" t="str">
        <f t="shared" si="2"/>
        <v>rokprognozy=2013 i lp=16</v>
      </c>
      <c r="F19" s="15" t="str">
        <f t="shared" si="2"/>
        <v>rokprognozy=2014 i lp=16</v>
      </c>
      <c r="G19" s="15" t="str">
        <f t="shared" si="2"/>
        <v>rokprognozy=2015 i lp=16</v>
      </c>
      <c r="H19" s="15" t="str">
        <f t="shared" si="2"/>
        <v>rokprognozy=2016 i lp=16</v>
      </c>
      <c r="I19" s="15" t="str">
        <f t="shared" si="2"/>
        <v>rokprognozy=2017 i lp=16</v>
      </c>
      <c r="J19" s="15" t="str">
        <f t="shared" si="2"/>
        <v>rokprognozy=2018 i lp=16</v>
      </c>
      <c r="K19" s="15" t="str">
        <f t="shared" si="2"/>
        <v>rokprognozy=2019 i lp=16</v>
      </c>
      <c r="L19" s="15" t="str">
        <f t="shared" si="2"/>
        <v>rokprognozy=2020 i lp=16</v>
      </c>
      <c r="M19" s="15" t="str">
        <f t="shared" si="4"/>
        <v>rokprognozy=2021 i lp=16</v>
      </c>
      <c r="N19" s="15" t="str">
        <f t="shared" si="4"/>
        <v>rokprognozy=2022 i lp=16</v>
      </c>
      <c r="O19" s="15" t="str">
        <f t="shared" si="4"/>
        <v>rokprognozy=2023 i lp=16</v>
      </c>
      <c r="P19" s="15" t="str">
        <f t="shared" si="4"/>
        <v>rokprognozy=2024 i lp=16</v>
      </c>
      <c r="Q19" s="15" t="str">
        <f t="shared" si="4"/>
        <v>rokprognozy=2025 i lp=16</v>
      </c>
      <c r="R19" s="15" t="str">
        <f t="shared" si="4"/>
        <v>rokprognozy=2026 i lp=16</v>
      </c>
      <c r="S19" s="15" t="str">
        <f t="shared" si="4"/>
        <v>rokprognozy=2027 i lp=16</v>
      </c>
      <c r="T19" s="15" t="str">
        <f t="shared" si="4"/>
        <v>rokprognozy=2028 i lp=16</v>
      </c>
      <c r="U19" s="15" t="str">
        <f t="shared" si="4"/>
        <v>rokprognozy=2029 i lp=16</v>
      </c>
      <c r="V19" s="15" t="str">
        <f t="shared" si="4"/>
        <v>rokprognozy=2030 i lp=16</v>
      </c>
      <c r="W19" s="15" t="str">
        <f t="shared" si="4"/>
        <v>rokprognozy=2031 i lp=16</v>
      </c>
      <c r="X19" s="15" t="str">
        <f t="shared" si="4"/>
        <v>rokprognozy=2032 i lp=16</v>
      </c>
      <c r="Y19" s="15" t="str">
        <f t="shared" si="4"/>
        <v>rokprognozy=2033 i lp=16</v>
      </c>
      <c r="Z19" s="15" t="str">
        <f t="shared" si="4"/>
        <v>rokprognozy=2034 i lp=16</v>
      </c>
      <c r="AA19" s="15" t="str">
        <f t="shared" si="4"/>
        <v>rokprognozy=2035 i lp=16</v>
      </c>
      <c r="AB19" s="15" t="str">
        <f t="shared" si="4"/>
        <v>rokprognozy=2036 i lp=16</v>
      </c>
      <c r="AC19" s="15" t="str">
        <f t="shared" si="5"/>
        <v>rokprognozy=2037 i lp=16</v>
      </c>
      <c r="AD19" s="15" t="str">
        <f t="shared" si="5"/>
        <v>rokprognozy=2038 i lp=16</v>
      </c>
      <c r="AE19" s="15" t="str">
        <f t="shared" si="5"/>
        <v>rokprognozy=2039 i lp=16</v>
      </c>
      <c r="AF19" s="15" t="str">
        <f t="shared" si="5"/>
        <v>rokprognozy=2040 i lp=16</v>
      </c>
      <c r="AG19" s="15" t="str">
        <f t="shared" si="5"/>
        <v>rokprognozy=2041 i lp=16</v>
      </c>
      <c r="AH19" s="15" t="str">
        <f t="shared" si="5"/>
        <v>rokprognozy=2042 i lp=16</v>
      </c>
      <c r="AI19" s="15" t="str">
        <f t="shared" si="5"/>
        <v>rokprognozy=2043 i lp=16</v>
      </c>
      <c r="AJ19" s="15" t="str">
        <f t="shared" si="5"/>
        <v>rokprognozy=2044 i lp=16</v>
      </c>
      <c r="AK19" s="15" t="str">
        <f t="shared" si="5"/>
        <v>rokprognozy=2045 i lp=16</v>
      </c>
      <c r="AL19" s="15" t="str">
        <f t="shared" si="5"/>
        <v>rokprognozy=2046 i lp=16</v>
      </c>
      <c r="AM19" s="15" t="str">
        <f t="shared" si="5"/>
        <v>rokprognozy=2047 i lp=16</v>
      </c>
      <c r="AN19" s="15" t="str">
        <f t="shared" si="5"/>
        <v>rokprognozy=2048 i lp=16</v>
      </c>
      <c r="AO19" s="15" t="str">
        <f t="shared" si="5"/>
        <v>rokprognozy=2049 i lp=16</v>
      </c>
      <c r="AP19" s="15" t="str">
        <f t="shared" si="5"/>
        <v>rokprognozy=2050 i lp=16</v>
      </c>
    </row>
    <row r="20" spans="1:42" ht="14.25" customHeight="1">
      <c r="A20" s="5">
        <v>17</v>
      </c>
      <c r="B20" s="17">
        <v>5</v>
      </c>
      <c r="C20" s="13" t="s">
        <v>54</v>
      </c>
      <c r="D20" s="15" t="str">
        <f t="shared" si="2"/>
        <v>rokprognozy=2012 i lp=17</v>
      </c>
      <c r="E20" s="15" t="str">
        <f t="shared" si="2"/>
        <v>rokprognozy=2013 i lp=17</v>
      </c>
      <c r="F20" s="15" t="str">
        <f t="shared" si="2"/>
        <v>rokprognozy=2014 i lp=17</v>
      </c>
      <c r="G20" s="15" t="str">
        <f t="shared" si="2"/>
        <v>rokprognozy=2015 i lp=17</v>
      </c>
      <c r="H20" s="15" t="str">
        <f t="shared" si="2"/>
        <v>rokprognozy=2016 i lp=17</v>
      </c>
      <c r="I20" s="15" t="str">
        <f t="shared" si="2"/>
        <v>rokprognozy=2017 i lp=17</v>
      </c>
      <c r="J20" s="15" t="str">
        <f t="shared" si="2"/>
        <v>rokprognozy=2018 i lp=17</v>
      </c>
      <c r="K20" s="15" t="str">
        <f t="shared" si="2"/>
        <v>rokprognozy=2019 i lp=17</v>
      </c>
      <c r="L20" s="15" t="str">
        <f t="shared" si="2"/>
        <v>rokprognozy=2020 i lp=17</v>
      </c>
      <c r="M20" s="15" t="str">
        <f t="shared" si="4"/>
        <v>rokprognozy=2021 i lp=17</v>
      </c>
      <c r="N20" s="15" t="str">
        <f t="shared" si="4"/>
        <v>rokprognozy=2022 i lp=17</v>
      </c>
      <c r="O20" s="15" t="str">
        <f t="shared" si="4"/>
        <v>rokprognozy=2023 i lp=17</v>
      </c>
      <c r="P20" s="15" t="str">
        <f t="shared" si="4"/>
        <v>rokprognozy=2024 i lp=17</v>
      </c>
      <c r="Q20" s="15" t="str">
        <f t="shared" si="4"/>
        <v>rokprognozy=2025 i lp=17</v>
      </c>
      <c r="R20" s="15" t="str">
        <f t="shared" si="4"/>
        <v>rokprognozy=2026 i lp=17</v>
      </c>
      <c r="S20" s="15" t="str">
        <f t="shared" si="4"/>
        <v>rokprognozy=2027 i lp=17</v>
      </c>
      <c r="T20" s="15" t="str">
        <f t="shared" si="4"/>
        <v>rokprognozy=2028 i lp=17</v>
      </c>
      <c r="U20" s="15" t="str">
        <f t="shared" si="4"/>
        <v>rokprognozy=2029 i lp=17</v>
      </c>
      <c r="V20" s="15" t="str">
        <f t="shared" si="4"/>
        <v>rokprognozy=2030 i lp=17</v>
      </c>
      <c r="W20" s="15" t="str">
        <f t="shared" si="4"/>
        <v>rokprognozy=2031 i lp=17</v>
      </c>
      <c r="X20" s="15" t="str">
        <f t="shared" si="4"/>
        <v>rokprognozy=2032 i lp=17</v>
      </c>
      <c r="Y20" s="15" t="str">
        <f t="shared" si="4"/>
        <v>rokprognozy=2033 i lp=17</v>
      </c>
      <c r="Z20" s="15" t="str">
        <f t="shared" si="4"/>
        <v>rokprognozy=2034 i lp=17</v>
      </c>
      <c r="AA20" s="15" t="str">
        <f t="shared" si="4"/>
        <v>rokprognozy=2035 i lp=17</v>
      </c>
      <c r="AB20" s="15" t="str">
        <f t="shared" si="4"/>
        <v>rokprognozy=2036 i lp=17</v>
      </c>
      <c r="AC20" s="15" t="str">
        <f t="shared" si="5"/>
        <v>rokprognozy=2037 i lp=17</v>
      </c>
      <c r="AD20" s="15" t="str">
        <f t="shared" si="5"/>
        <v>rokprognozy=2038 i lp=17</v>
      </c>
      <c r="AE20" s="15" t="str">
        <f t="shared" si="5"/>
        <v>rokprognozy=2039 i lp=17</v>
      </c>
      <c r="AF20" s="15" t="str">
        <f t="shared" si="5"/>
        <v>rokprognozy=2040 i lp=17</v>
      </c>
      <c r="AG20" s="15" t="str">
        <f t="shared" si="5"/>
        <v>rokprognozy=2041 i lp=17</v>
      </c>
      <c r="AH20" s="15" t="str">
        <f t="shared" si="5"/>
        <v>rokprognozy=2042 i lp=17</v>
      </c>
      <c r="AI20" s="15" t="str">
        <f t="shared" si="5"/>
        <v>rokprognozy=2043 i lp=17</v>
      </c>
      <c r="AJ20" s="15" t="str">
        <f t="shared" si="5"/>
        <v>rokprognozy=2044 i lp=17</v>
      </c>
      <c r="AK20" s="15" t="str">
        <f t="shared" si="5"/>
        <v>rokprognozy=2045 i lp=17</v>
      </c>
      <c r="AL20" s="15" t="str">
        <f t="shared" si="5"/>
        <v>rokprognozy=2046 i lp=17</v>
      </c>
      <c r="AM20" s="15" t="str">
        <f t="shared" si="5"/>
        <v>rokprognozy=2047 i lp=17</v>
      </c>
      <c r="AN20" s="15" t="str">
        <f t="shared" si="5"/>
        <v>rokprognozy=2048 i lp=17</v>
      </c>
      <c r="AO20" s="15" t="str">
        <f t="shared" si="5"/>
        <v>rokprognozy=2049 i lp=17</v>
      </c>
      <c r="AP20" s="15" t="str">
        <f t="shared" si="5"/>
        <v>rokprognozy=2050 i lp=17</v>
      </c>
    </row>
    <row r="21" spans="1:42" ht="14.25" customHeight="1">
      <c r="A21" s="5">
        <v>18</v>
      </c>
      <c r="B21" s="17" t="s">
        <v>55</v>
      </c>
      <c r="C21" s="13" t="s">
        <v>53</v>
      </c>
      <c r="D21" s="15" t="str">
        <f t="shared" si="2"/>
        <v>rokprognozy=2012 i lp=18</v>
      </c>
      <c r="E21" s="15" t="str">
        <f t="shared" si="2"/>
        <v>rokprognozy=2013 i lp=18</v>
      </c>
      <c r="F21" s="15" t="str">
        <f t="shared" si="2"/>
        <v>rokprognozy=2014 i lp=18</v>
      </c>
      <c r="G21" s="15" t="str">
        <f t="shared" si="2"/>
        <v>rokprognozy=2015 i lp=18</v>
      </c>
      <c r="H21" s="15" t="str">
        <f t="shared" si="2"/>
        <v>rokprognozy=2016 i lp=18</v>
      </c>
      <c r="I21" s="15" t="str">
        <f t="shared" si="2"/>
        <v>rokprognozy=2017 i lp=18</v>
      </c>
      <c r="J21" s="15" t="str">
        <f t="shared" si="2"/>
        <v>rokprognozy=2018 i lp=18</v>
      </c>
      <c r="K21" s="15" t="str">
        <f t="shared" si="2"/>
        <v>rokprognozy=2019 i lp=18</v>
      </c>
      <c r="L21" s="15" t="str">
        <f t="shared" si="2"/>
        <v>rokprognozy=2020 i lp=18</v>
      </c>
      <c r="M21" s="15" t="str">
        <f t="shared" si="4"/>
        <v>rokprognozy=2021 i lp=18</v>
      </c>
      <c r="N21" s="15" t="str">
        <f t="shared" si="4"/>
        <v>rokprognozy=2022 i lp=18</v>
      </c>
      <c r="O21" s="15" t="str">
        <f t="shared" si="4"/>
        <v>rokprognozy=2023 i lp=18</v>
      </c>
      <c r="P21" s="15" t="str">
        <f t="shared" si="4"/>
        <v>rokprognozy=2024 i lp=18</v>
      </c>
      <c r="Q21" s="15" t="str">
        <f t="shared" si="4"/>
        <v>rokprognozy=2025 i lp=18</v>
      </c>
      <c r="R21" s="15" t="str">
        <f t="shared" si="4"/>
        <v>rokprognozy=2026 i lp=18</v>
      </c>
      <c r="S21" s="15" t="str">
        <f t="shared" si="4"/>
        <v>rokprognozy=2027 i lp=18</v>
      </c>
      <c r="T21" s="15" t="str">
        <f t="shared" si="4"/>
        <v>rokprognozy=2028 i lp=18</v>
      </c>
      <c r="U21" s="15" t="str">
        <f t="shared" si="4"/>
        <v>rokprognozy=2029 i lp=18</v>
      </c>
      <c r="V21" s="15" t="str">
        <f t="shared" si="4"/>
        <v>rokprognozy=2030 i lp=18</v>
      </c>
      <c r="W21" s="15" t="str">
        <f t="shared" si="4"/>
        <v>rokprognozy=2031 i lp=18</v>
      </c>
      <c r="X21" s="15" t="str">
        <f t="shared" si="4"/>
        <v>rokprognozy=2032 i lp=18</v>
      </c>
      <c r="Y21" s="15" t="str">
        <f t="shared" si="4"/>
        <v>rokprognozy=2033 i lp=18</v>
      </c>
      <c r="Z21" s="15" t="str">
        <f t="shared" si="4"/>
        <v>rokprognozy=2034 i lp=18</v>
      </c>
      <c r="AA21" s="15" t="str">
        <f t="shared" si="4"/>
        <v>rokprognozy=2035 i lp=18</v>
      </c>
      <c r="AB21" s="15" t="str">
        <f t="shared" si="4"/>
        <v>rokprognozy=2036 i lp=18</v>
      </c>
      <c r="AC21" s="15" t="str">
        <f t="shared" si="5"/>
        <v>rokprognozy=2037 i lp=18</v>
      </c>
      <c r="AD21" s="15" t="str">
        <f t="shared" si="5"/>
        <v>rokprognozy=2038 i lp=18</v>
      </c>
      <c r="AE21" s="15" t="str">
        <f t="shared" si="5"/>
        <v>rokprognozy=2039 i lp=18</v>
      </c>
      <c r="AF21" s="15" t="str">
        <f t="shared" si="5"/>
        <v>rokprognozy=2040 i lp=18</v>
      </c>
      <c r="AG21" s="15" t="str">
        <f t="shared" si="5"/>
        <v>rokprognozy=2041 i lp=18</v>
      </c>
      <c r="AH21" s="15" t="str">
        <f t="shared" si="5"/>
        <v>rokprognozy=2042 i lp=18</v>
      </c>
      <c r="AI21" s="15" t="str">
        <f t="shared" si="5"/>
        <v>rokprognozy=2043 i lp=18</v>
      </c>
      <c r="AJ21" s="15" t="str">
        <f t="shared" si="5"/>
        <v>rokprognozy=2044 i lp=18</v>
      </c>
      <c r="AK21" s="15" t="str">
        <f t="shared" si="5"/>
        <v>rokprognozy=2045 i lp=18</v>
      </c>
      <c r="AL21" s="15" t="str">
        <f t="shared" si="5"/>
        <v>rokprognozy=2046 i lp=18</v>
      </c>
      <c r="AM21" s="15" t="str">
        <f t="shared" si="5"/>
        <v>rokprognozy=2047 i lp=18</v>
      </c>
      <c r="AN21" s="15" t="str">
        <f t="shared" si="5"/>
        <v>rokprognozy=2048 i lp=18</v>
      </c>
      <c r="AO21" s="15" t="str">
        <f t="shared" si="5"/>
        <v>rokprognozy=2049 i lp=18</v>
      </c>
      <c r="AP21" s="15" t="str">
        <f t="shared" si="5"/>
        <v>rokprognozy=2050 i lp=18</v>
      </c>
    </row>
    <row r="22" spans="1:42" ht="14.25" customHeight="1">
      <c r="A22" s="6">
        <v>19</v>
      </c>
      <c r="B22" s="17">
        <v>6</v>
      </c>
      <c r="C22" s="19" t="s">
        <v>56</v>
      </c>
      <c r="D22" s="15" t="str">
        <f t="shared" si="2"/>
        <v>rokprognozy=2012 i lp=19</v>
      </c>
      <c r="E22" s="15" t="str">
        <f t="shared" si="2"/>
        <v>rokprognozy=2013 i lp=19</v>
      </c>
      <c r="F22" s="15" t="str">
        <f t="shared" si="2"/>
        <v>rokprognozy=2014 i lp=19</v>
      </c>
      <c r="G22" s="15" t="str">
        <f t="shared" si="2"/>
        <v>rokprognozy=2015 i lp=19</v>
      </c>
      <c r="H22" s="15" t="str">
        <f t="shared" si="2"/>
        <v>rokprognozy=2016 i lp=19</v>
      </c>
      <c r="I22" s="15" t="str">
        <f t="shared" si="2"/>
        <v>rokprognozy=2017 i lp=19</v>
      </c>
      <c r="J22" s="15" t="str">
        <f t="shared" si="2"/>
        <v>rokprognozy=2018 i lp=19</v>
      </c>
      <c r="K22" s="15" t="str">
        <f t="shared" si="2"/>
        <v>rokprognozy=2019 i lp=19</v>
      </c>
      <c r="L22" s="15" t="str">
        <f t="shared" si="2"/>
        <v>rokprognozy=2020 i lp=19</v>
      </c>
      <c r="M22" s="15" t="str">
        <f t="shared" si="4"/>
        <v>rokprognozy=2021 i lp=19</v>
      </c>
      <c r="N22" s="15" t="str">
        <f t="shared" si="4"/>
        <v>rokprognozy=2022 i lp=19</v>
      </c>
      <c r="O22" s="15" t="str">
        <f t="shared" si="4"/>
        <v>rokprognozy=2023 i lp=19</v>
      </c>
      <c r="P22" s="15" t="str">
        <f t="shared" si="4"/>
        <v>rokprognozy=2024 i lp=19</v>
      </c>
      <c r="Q22" s="15" t="str">
        <f t="shared" si="4"/>
        <v>rokprognozy=2025 i lp=19</v>
      </c>
      <c r="R22" s="15" t="str">
        <f t="shared" si="4"/>
        <v>rokprognozy=2026 i lp=19</v>
      </c>
      <c r="S22" s="15" t="str">
        <f t="shared" si="4"/>
        <v>rokprognozy=2027 i lp=19</v>
      </c>
      <c r="T22" s="15" t="str">
        <f t="shared" si="4"/>
        <v>rokprognozy=2028 i lp=19</v>
      </c>
      <c r="U22" s="15" t="str">
        <f t="shared" si="4"/>
        <v>rokprognozy=2029 i lp=19</v>
      </c>
      <c r="V22" s="15" t="str">
        <f t="shared" si="4"/>
        <v>rokprognozy=2030 i lp=19</v>
      </c>
      <c r="W22" s="15" t="str">
        <f t="shared" si="4"/>
        <v>rokprognozy=2031 i lp=19</v>
      </c>
      <c r="X22" s="15" t="str">
        <f t="shared" si="4"/>
        <v>rokprognozy=2032 i lp=19</v>
      </c>
      <c r="Y22" s="15" t="str">
        <f t="shared" si="4"/>
        <v>rokprognozy=2033 i lp=19</v>
      </c>
      <c r="Z22" s="15" t="str">
        <f t="shared" si="4"/>
        <v>rokprognozy=2034 i lp=19</v>
      </c>
      <c r="AA22" s="15" t="str">
        <f t="shared" si="4"/>
        <v>rokprognozy=2035 i lp=19</v>
      </c>
      <c r="AB22" s="15" t="str">
        <f t="shared" si="4"/>
        <v>rokprognozy=2036 i lp=19</v>
      </c>
      <c r="AC22" s="15" t="str">
        <f t="shared" si="5"/>
        <v>rokprognozy=2037 i lp=19</v>
      </c>
      <c r="AD22" s="15" t="str">
        <f t="shared" si="5"/>
        <v>rokprognozy=2038 i lp=19</v>
      </c>
      <c r="AE22" s="15" t="str">
        <f t="shared" si="5"/>
        <v>rokprognozy=2039 i lp=19</v>
      </c>
      <c r="AF22" s="15" t="str">
        <f t="shared" si="5"/>
        <v>rokprognozy=2040 i lp=19</v>
      </c>
      <c r="AG22" s="15" t="str">
        <f t="shared" si="5"/>
        <v>rokprognozy=2041 i lp=19</v>
      </c>
      <c r="AH22" s="15" t="str">
        <f t="shared" si="5"/>
        <v>rokprognozy=2042 i lp=19</v>
      </c>
      <c r="AI22" s="15" t="str">
        <f t="shared" si="5"/>
        <v>rokprognozy=2043 i lp=19</v>
      </c>
      <c r="AJ22" s="15" t="str">
        <f t="shared" si="5"/>
        <v>rokprognozy=2044 i lp=19</v>
      </c>
      <c r="AK22" s="15" t="str">
        <f t="shared" si="5"/>
        <v>rokprognozy=2045 i lp=19</v>
      </c>
      <c r="AL22" s="15" t="str">
        <f t="shared" si="5"/>
        <v>rokprognozy=2046 i lp=19</v>
      </c>
      <c r="AM22" s="15" t="str">
        <f t="shared" si="5"/>
        <v>rokprognozy=2047 i lp=19</v>
      </c>
      <c r="AN22" s="15" t="str">
        <f t="shared" si="5"/>
        <v>rokprognozy=2048 i lp=19</v>
      </c>
      <c r="AO22" s="15" t="str">
        <f t="shared" si="5"/>
        <v>rokprognozy=2049 i lp=19</v>
      </c>
      <c r="AP22" s="15" t="str">
        <f t="shared" si="5"/>
        <v>rokprognozy=2050 i lp=19</v>
      </c>
    </row>
    <row r="23" spans="1:42" ht="14.25" customHeight="1">
      <c r="A23" s="7">
        <v>20</v>
      </c>
      <c r="B23" s="17">
        <v>7</v>
      </c>
      <c r="C23" s="23" t="s">
        <v>6</v>
      </c>
      <c r="D23" s="15" t="str">
        <f t="shared" si="2"/>
        <v>rokprognozy=2012 i lp=20</v>
      </c>
      <c r="E23" s="15" t="str">
        <f t="shared" si="2"/>
        <v>rokprognozy=2013 i lp=20</v>
      </c>
      <c r="F23" s="15" t="str">
        <f t="shared" si="2"/>
        <v>rokprognozy=2014 i lp=20</v>
      </c>
      <c r="G23" s="15" t="str">
        <f t="shared" si="2"/>
        <v>rokprognozy=2015 i lp=20</v>
      </c>
      <c r="H23" s="15" t="str">
        <f t="shared" si="2"/>
        <v>rokprognozy=2016 i lp=20</v>
      </c>
      <c r="I23" s="15" t="str">
        <f t="shared" si="2"/>
        <v>rokprognozy=2017 i lp=20</v>
      </c>
      <c r="J23" s="15" t="str">
        <f t="shared" si="2"/>
        <v>rokprognozy=2018 i lp=20</v>
      </c>
      <c r="K23" s="15" t="str">
        <f t="shared" si="2"/>
        <v>rokprognozy=2019 i lp=20</v>
      </c>
      <c r="L23" s="15" t="str">
        <f t="shared" si="2"/>
        <v>rokprognozy=2020 i lp=20</v>
      </c>
      <c r="M23" s="15" t="str">
        <f t="shared" si="4"/>
        <v>rokprognozy=2021 i lp=20</v>
      </c>
      <c r="N23" s="15" t="str">
        <f t="shared" si="4"/>
        <v>rokprognozy=2022 i lp=20</v>
      </c>
      <c r="O23" s="15" t="str">
        <f t="shared" si="4"/>
        <v>rokprognozy=2023 i lp=20</v>
      </c>
      <c r="P23" s="15" t="str">
        <f t="shared" si="4"/>
        <v>rokprognozy=2024 i lp=20</v>
      </c>
      <c r="Q23" s="15" t="str">
        <f t="shared" si="4"/>
        <v>rokprognozy=2025 i lp=20</v>
      </c>
      <c r="R23" s="15" t="str">
        <f t="shared" si="4"/>
        <v>rokprognozy=2026 i lp=20</v>
      </c>
      <c r="S23" s="15" t="str">
        <f t="shared" si="4"/>
        <v>rokprognozy=2027 i lp=20</v>
      </c>
      <c r="T23" s="15" t="str">
        <f t="shared" si="4"/>
        <v>rokprognozy=2028 i lp=20</v>
      </c>
      <c r="U23" s="15" t="str">
        <f t="shared" si="4"/>
        <v>rokprognozy=2029 i lp=20</v>
      </c>
      <c r="V23" s="15" t="str">
        <f t="shared" si="4"/>
        <v>rokprognozy=2030 i lp=20</v>
      </c>
      <c r="W23" s="15" t="str">
        <f t="shared" si="4"/>
        <v>rokprognozy=2031 i lp=20</v>
      </c>
      <c r="X23" s="15" t="str">
        <f t="shared" si="4"/>
        <v>rokprognozy=2032 i lp=20</v>
      </c>
      <c r="Y23" s="15" t="str">
        <f t="shared" si="4"/>
        <v>rokprognozy=2033 i lp=20</v>
      </c>
      <c r="Z23" s="15" t="str">
        <f t="shared" si="4"/>
        <v>rokprognozy=2034 i lp=20</v>
      </c>
      <c r="AA23" s="15" t="str">
        <f t="shared" si="4"/>
        <v>rokprognozy=2035 i lp=20</v>
      </c>
      <c r="AB23" s="15" t="str">
        <f t="shared" si="4"/>
        <v>rokprognozy=2036 i lp=20</v>
      </c>
      <c r="AC23" s="15" t="str">
        <f t="shared" si="5"/>
        <v>rokprognozy=2037 i lp=20</v>
      </c>
      <c r="AD23" s="15" t="str">
        <f t="shared" si="5"/>
        <v>rokprognozy=2038 i lp=20</v>
      </c>
      <c r="AE23" s="15" t="str">
        <f t="shared" si="5"/>
        <v>rokprognozy=2039 i lp=20</v>
      </c>
      <c r="AF23" s="15" t="str">
        <f t="shared" si="5"/>
        <v>rokprognozy=2040 i lp=20</v>
      </c>
      <c r="AG23" s="15" t="str">
        <f t="shared" si="5"/>
        <v>rokprognozy=2041 i lp=20</v>
      </c>
      <c r="AH23" s="15" t="str">
        <f t="shared" si="5"/>
        <v>rokprognozy=2042 i lp=20</v>
      </c>
      <c r="AI23" s="15" t="str">
        <f t="shared" si="5"/>
        <v>rokprognozy=2043 i lp=20</v>
      </c>
      <c r="AJ23" s="15" t="str">
        <f t="shared" si="5"/>
        <v>rokprognozy=2044 i lp=20</v>
      </c>
      <c r="AK23" s="15" t="str">
        <f t="shared" si="5"/>
        <v>rokprognozy=2045 i lp=20</v>
      </c>
      <c r="AL23" s="15" t="str">
        <f t="shared" si="5"/>
        <v>rokprognozy=2046 i lp=20</v>
      </c>
      <c r="AM23" s="15" t="str">
        <f t="shared" si="5"/>
        <v>rokprognozy=2047 i lp=20</v>
      </c>
      <c r="AN23" s="15" t="str">
        <f t="shared" si="5"/>
        <v>rokprognozy=2048 i lp=20</v>
      </c>
      <c r="AO23" s="15" t="str">
        <f t="shared" si="5"/>
        <v>rokprognozy=2049 i lp=20</v>
      </c>
      <c r="AP23" s="15" t="str">
        <f t="shared" si="5"/>
        <v>rokprognozy=2050 i lp=20</v>
      </c>
    </row>
    <row r="24" spans="1:42" ht="14.25" customHeight="1">
      <c r="A24" s="6">
        <v>21</v>
      </c>
      <c r="B24" s="17" t="s">
        <v>57</v>
      </c>
      <c r="C24" s="19" t="s">
        <v>58</v>
      </c>
      <c r="D24" s="15" t="str">
        <f t="shared" si="2"/>
        <v>rokprognozy=2012 i lp=21</v>
      </c>
      <c r="E24" s="15" t="str">
        <f t="shared" si="2"/>
        <v>rokprognozy=2013 i lp=21</v>
      </c>
      <c r="F24" s="15" t="str">
        <f t="shared" si="2"/>
        <v>rokprognozy=2014 i lp=21</v>
      </c>
      <c r="G24" s="15" t="str">
        <f t="shared" si="2"/>
        <v>rokprognozy=2015 i lp=21</v>
      </c>
      <c r="H24" s="15" t="str">
        <f t="shared" si="2"/>
        <v>rokprognozy=2016 i lp=21</v>
      </c>
      <c r="I24" s="15" t="str">
        <f t="shared" si="2"/>
        <v>rokprognozy=2017 i lp=21</v>
      </c>
      <c r="J24" s="15" t="str">
        <f t="shared" si="2"/>
        <v>rokprognozy=2018 i lp=21</v>
      </c>
      <c r="K24" s="15" t="str">
        <f t="shared" si="2"/>
        <v>rokprognozy=2019 i lp=21</v>
      </c>
      <c r="L24" s="15" t="str">
        <f t="shared" si="2"/>
        <v>rokprognozy=2020 i lp=21</v>
      </c>
      <c r="M24" s="15" t="str">
        <f t="shared" si="4"/>
        <v>rokprognozy=2021 i lp=21</v>
      </c>
      <c r="N24" s="15" t="str">
        <f t="shared" si="4"/>
        <v>rokprognozy=2022 i lp=21</v>
      </c>
      <c r="O24" s="15" t="str">
        <f t="shared" si="4"/>
        <v>rokprognozy=2023 i lp=21</v>
      </c>
      <c r="P24" s="15" t="str">
        <f t="shared" si="4"/>
        <v>rokprognozy=2024 i lp=21</v>
      </c>
      <c r="Q24" s="15" t="str">
        <f t="shared" si="4"/>
        <v>rokprognozy=2025 i lp=21</v>
      </c>
      <c r="R24" s="15" t="str">
        <f t="shared" si="4"/>
        <v>rokprognozy=2026 i lp=21</v>
      </c>
      <c r="S24" s="15" t="str">
        <f t="shared" si="4"/>
        <v>rokprognozy=2027 i lp=21</v>
      </c>
      <c r="T24" s="15" t="str">
        <f t="shared" si="4"/>
        <v>rokprognozy=2028 i lp=21</v>
      </c>
      <c r="U24" s="15" t="str">
        <f t="shared" si="4"/>
        <v>rokprognozy=2029 i lp=21</v>
      </c>
      <c r="V24" s="15" t="str">
        <f t="shared" si="4"/>
        <v>rokprognozy=2030 i lp=21</v>
      </c>
      <c r="W24" s="15" t="str">
        <f t="shared" si="4"/>
        <v>rokprognozy=2031 i lp=21</v>
      </c>
      <c r="X24" s="15" t="str">
        <f t="shared" si="4"/>
        <v>rokprognozy=2032 i lp=21</v>
      </c>
      <c r="Y24" s="15" t="str">
        <f t="shared" si="4"/>
        <v>rokprognozy=2033 i lp=21</v>
      </c>
      <c r="Z24" s="15" t="str">
        <f t="shared" si="4"/>
        <v>rokprognozy=2034 i lp=21</v>
      </c>
      <c r="AA24" s="15" t="str">
        <f t="shared" si="4"/>
        <v>rokprognozy=2035 i lp=21</v>
      </c>
      <c r="AB24" s="15" t="str">
        <f t="shared" si="4"/>
        <v>rokprognozy=2036 i lp=21</v>
      </c>
      <c r="AC24" s="15" t="str">
        <f t="shared" si="5"/>
        <v>rokprognozy=2037 i lp=21</v>
      </c>
      <c r="AD24" s="15" t="str">
        <f t="shared" si="5"/>
        <v>rokprognozy=2038 i lp=21</v>
      </c>
      <c r="AE24" s="15" t="str">
        <f t="shared" si="5"/>
        <v>rokprognozy=2039 i lp=21</v>
      </c>
      <c r="AF24" s="15" t="str">
        <f t="shared" si="5"/>
        <v>rokprognozy=2040 i lp=21</v>
      </c>
      <c r="AG24" s="15" t="str">
        <f t="shared" si="5"/>
        <v>rokprognozy=2041 i lp=21</v>
      </c>
      <c r="AH24" s="15" t="str">
        <f t="shared" si="5"/>
        <v>rokprognozy=2042 i lp=21</v>
      </c>
      <c r="AI24" s="15" t="str">
        <f t="shared" si="5"/>
        <v>rokprognozy=2043 i lp=21</v>
      </c>
      <c r="AJ24" s="15" t="str">
        <f t="shared" si="5"/>
        <v>rokprognozy=2044 i lp=21</v>
      </c>
      <c r="AK24" s="15" t="str">
        <f t="shared" si="5"/>
        <v>rokprognozy=2045 i lp=21</v>
      </c>
      <c r="AL24" s="15" t="str">
        <f t="shared" si="5"/>
        <v>rokprognozy=2046 i lp=21</v>
      </c>
      <c r="AM24" s="15" t="str">
        <f t="shared" si="5"/>
        <v>rokprognozy=2047 i lp=21</v>
      </c>
      <c r="AN24" s="15" t="str">
        <f t="shared" si="5"/>
        <v>rokprognozy=2048 i lp=21</v>
      </c>
      <c r="AO24" s="15" t="str">
        <f t="shared" si="5"/>
        <v>rokprognozy=2049 i lp=21</v>
      </c>
      <c r="AP24" s="15" t="str">
        <f t="shared" si="5"/>
        <v>rokprognozy=2050 i lp=21</v>
      </c>
    </row>
    <row r="25" spans="1:42" ht="14.25" customHeight="1">
      <c r="A25" s="5">
        <v>22</v>
      </c>
      <c r="B25" s="17" t="s">
        <v>59</v>
      </c>
      <c r="C25" s="1" t="s">
        <v>60</v>
      </c>
      <c r="D25" s="15" t="str">
        <f t="shared" si="2"/>
        <v>rokprognozy=2012 i lp=22</v>
      </c>
      <c r="E25" s="15" t="str">
        <f t="shared" si="2"/>
        <v>rokprognozy=2013 i lp=22</v>
      </c>
      <c r="F25" s="15" t="str">
        <f t="shared" si="2"/>
        <v>rokprognozy=2014 i lp=22</v>
      </c>
      <c r="G25" s="15" t="str">
        <f t="shared" si="2"/>
        <v>rokprognozy=2015 i lp=22</v>
      </c>
      <c r="H25" s="15" t="str">
        <f t="shared" si="2"/>
        <v>rokprognozy=2016 i lp=22</v>
      </c>
      <c r="I25" s="15" t="str">
        <f t="shared" si="2"/>
        <v>rokprognozy=2017 i lp=22</v>
      </c>
      <c r="J25" s="15" t="str">
        <f t="shared" si="2"/>
        <v>rokprognozy=2018 i lp=22</v>
      </c>
      <c r="K25" s="15" t="str">
        <f t="shared" si="2"/>
        <v>rokprognozy=2019 i lp=22</v>
      </c>
      <c r="L25" s="15" t="str">
        <f t="shared" si="2"/>
        <v>rokprognozy=2020 i lp=22</v>
      </c>
      <c r="M25" s="15" t="str">
        <f t="shared" si="4"/>
        <v>rokprognozy=2021 i lp=22</v>
      </c>
      <c r="N25" s="15" t="str">
        <f t="shared" si="4"/>
        <v>rokprognozy=2022 i lp=22</v>
      </c>
      <c r="O25" s="15" t="str">
        <f t="shared" si="4"/>
        <v>rokprognozy=2023 i lp=22</v>
      </c>
      <c r="P25" s="15" t="str">
        <f t="shared" si="4"/>
        <v>rokprognozy=2024 i lp=22</v>
      </c>
      <c r="Q25" s="15" t="str">
        <f t="shared" si="4"/>
        <v>rokprognozy=2025 i lp=22</v>
      </c>
      <c r="R25" s="15" t="str">
        <f t="shared" si="4"/>
        <v>rokprognozy=2026 i lp=22</v>
      </c>
      <c r="S25" s="15" t="str">
        <f t="shared" si="4"/>
        <v>rokprognozy=2027 i lp=22</v>
      </c>
      <c r="T25" s="15" t="str">
        <f t="shared" si="4"/>
        <v>rokprognozy=2028 i lp=22</v>
      </c>
      <c r="U25" s="15" t="str">
        <f t="shared" si="4"/>
        <v>rokprognozy=2029 i lp=22</v>
      </c>
      <c r="V25" s="15" t="str">
        <f t="shared" si="4"/>
        <v>rokprognozy=2030 i lp=22</v>
      </c>
      <c r="W25" s="15" t="str">
        <f t="shared" si="4"/>
        <v>rokprognozy=2031 i lp=22</v>
      </c>
      <c r="X25" s="15" t="str">
        <f t="shared" si="4"/>
        <v>rokprognozy=2032 i lp=22</v>
      </c>
      <c r="Y25" s="15" t="str">
        <f t="shared" si="4"/>
        <v>rokprognozy=2033 i lp=22</v>
      </c>
      <c r="Z25" s="15" t="str">
        <f t="shared" si="4"/>
        <v>rokprognozy=2034 i lp=22</v>
      </c>
      <c r="AA25" s="15" t="str">
        <f t="shared" si="4"/>
        <v>rokprognozy=2035 i lp=22</v>
      </c>
      <c r="AB25" s="15" t="str">
        <f t="shared" si="4"/>
        <v>rokprognozy=2036 i lp=22</v>
      </c>
      <c r="AC25" s="15" t="str">
        <f t="shared" si="5"/>
        <v>rokprognozy=2037 i lp=22</v>
      </c>
      <c r="AD25" s="15" t="str">
        <f t="shared" si="5"/>
        <v>rokprognozy=2038 i lp=22</v>
      </c>
      <c r="AE25" s="15" t="str">
        <f t="shared" si="5"/>
        <v>rokprognozy=2039 i lp=22</v>
      </c>
      <c r="AF25" s="15" t="str">
        <f t="shared" si="5"/>
        <v>rokprognozy=2040 i lp=22</v>
      </c>
      <c r="AG25" s="15" t="str">
        <f t="shared" si="5"/>
        <v>rokprognozy=2041 i lp=22</v>
      </c>
      <c r="AH25" s="15" t="str">
        <f t="shared" si="5"/>
        <v>rokprognozy=2042 i lp=22</v>
      </c>
      <c r="AI25" s="15" t="str">
        <f t="shared" si="5"/>
        <v>rokprognozy=2043 i lp=22</v>
      </c>
      <c r="AJ25" s="15" t="str">
        <f t="shared" si="5"/>
        <v>rokprognozy=2044 i lp=22</v>
      </c>
      <c r="AK25" s="15" t="str">
        <f t="shared" si="5"/>
        <v>rokprognozy=2045 i lp=22</v>
      </c>
      <c r="AL25" s="15" t="str">
        <f t="shared" si="5"/>
        <v>rokprognozy=2046 i lp=22</v>
      </c>
      <c r="AM25" s="15" t="str">
        <f t="shared" si="5"/>
        <v>rokprognozy=2047 i lp=22</v>
      </c>
      <c r="AN25" s="15" t="str">
        <f t="shared" si="5"/>
        <v>rokprognozy=2048 i lp=22</v>
      </c>
      <c r="AO25" s="15" t="str">
        <f t="shared" si="5"/>
        <v>rokprognozy=2049 i lp=22</v>
      </c>
      <c r="AP25" s="15" t="str">
        <f t="shared" si="5"/>
        <v>rokprognozy=2050 i lp=22</v>
      </c>
    </row>
    <row r="26" spans="1:42" ht="14.25" customHeight="1">
      <c r="A26" s="6">
        <v>23</v>
      </c>
      <c r="B26" s="17" t="s">
        <v>61</v>
      </c>
      <c r="C26" s="19" t="s">
        <v>62</v>
      </c>
      <c r="D26" s="15" t="str">
        <f t="shared" si="2"/>
        <v>rokprognozy=2012 i lp=23</v>
      </c>
      <c r="E26" s="15" t="str">
        <f t="shared" si="2"/>
        <v>rokprognozy=2013 i lp=23</v>
      </c>
      <c r="F26" s="15" t="str">
        <f t="shared" si="2"/>
        <v>rokprognozy=2014 i lp=23</v>
      </c>
      <c r="G26" s="15" t="str">
        <f t="shared" si="2"/>
        <v>rokprognozy=2015 i lp=23</v>
      </c>
      <c r="H26" s="15" t="str">
        <f t="shared" si="2"/>
        <v>rokprognozy=2016 i lp=23</v>
      </c>
      <c r="I26" s="15" t="str">
        <f t="shared" si="2"/>
        <v>rokprognozy=2017 i lp=23</v>
      </c>
      <c r="J26" s="15" t="str">
        <f t="shared" si="2"/>
        <v>rokprognozy=2018 i lp=23</v>
      </c>
      <c r="K26" s="15" t="str">
        <f t="shared" si="2"/>
        <v>rokprognozy=2019 i lp=23</v>
      </c>
      <c r="L26" s="15" t="str">
        <f t="shared" si="2"/>
        <v>rokprognozy=2020 i lp=23</v>
      </c>
      <c r="M26" s="15" t="str">
        <f t="shared" si="4"/>
        <v>rokprognozy=2021 i lp=23</v>
      </c>
      <c r="N26" s="15" t="str">
        <f t="shared" si="4"/>
        <v>rokprognozy=2022 i lp=23</v>
      </c>
      <c r="O26" s="15" t="str">
        <f t="shared" si="4"/>
        <v>rokprognozy=2023 i lp=23</v>
      </c>
      <c r="P26" s="15" t="str">
        <f t="shared" si="4"/>
        <v>rokprognozy=2024 i lp=23</v>
      </c>
      <c r="Q26" s="15" t="str">
        <f t="shared" si="4"/>
        <v>rokprognozy=2025 i lp=23</v>
      </c>
      <c r="R26" s="15" t="str">
        <f t="shared" si="4"/>
        <v>rokprognozy=2026 i lp=23</v>
      </c>
      <c r="S26" s="15" t="str">
        <f t="shared" si="4"/>
        <v>rokprognozy=2027 i lp=23</v>
      </c>
      <c r="T26" s="15" t="str">
        <f t="shared" si="4"/>
        <v>rokprognozy=2028 i lp=23</v>
      </c>
      <c r="U26" s="15" t="str">
        <f t="shared" si="4"/>
        <v>rokprognozy=2029 i lp=23</v>
      </c>
      <c r="V26" s="15" t="str">
        <f t="shared" si="4"/>
        <v>rokprognozy=2030 i lp=23</v>
      </c>
      <c r="W26" s="15" t="str">
        <f t="shared" si="4"/>
        <v>rokprognozy=2031 i lp=23</v>
      </c>
      <c r="X26" s="15" t="str">
        <f t="shared" si="4"/>
        <v>rokprognozy=2032 i lp=23</v>
      </c>
      <c r="Y26" s="15" t="str">
        <f t="shared" si="4"/>
        <v>rokprognozy=2033 i lp=23</v>
      </c>
      <c r="Z26" s="15" t="str">
        <f t="shared" si="4"/>
        <v>rokprognozy=2034 i lp=23</v>
      </c>
      <c r="AA26" s="15" t="str">
        <f t="shared" si="4"/>
        <v>rokprognozy=2035 i lp=23</v>
      </c>
      <c r="AB26" s="15" t="str">
        <f t="shared" si="4"/>
        <v>rokprognozy=2036 i lp=23</v>
      </c>
      <c r="AC26" s="15" t="str">
        <f t="shared" si="5"/>
        <v>rokprognozy=2037 i lp=23</v>
      </c>
      <c r="AD26" s="15" t="str">
        <f t="shared" si="5"/>
        <v>rokprognozy=2038 i lp=23</v>
      </c>
      <c r="AE26" s="15" t="str">
        <f t="shared" si="5"/>
        <v>rokprognozy=2039 i lp=23</v>
      </c>
      <c r="AF26" s="15" t="str">
        <f t="shared" si="5"/>
        <v>rokprognozy=2040 i lp=23</v>
      </c>
      <c r="AG26" s="15" t="str">
        <f t="shared" si="5"/>
        <v>rokprognozy=2041 i lp=23</v>
      </c>
      <c r="AH26" s="15" t="str">
        <f t="shared" si="5"/>
        <v>rokprognozy=2042 i lp=23</v>
      </c>
      <c r="AI26" s="15" t="str">
        <f t="shared" si="5"/>
        <v>rokprognozy=2043 i lp=23</v>
      </c>
      <c r="AJ26" s="15" t="str">
        <f t="shared" si="5"/>
        <v>rokprognozy=2044 i lp=23</v>
      </c>
      <c r="AK26" s="15" t="str">
        <f t="shared" si="5"/>
        <v>rokprognozy=2045 i lp=23</v>
      </c>
      <c r="AL26" s="15" t="str">
        <f t="shared" si="5"/>
        <v>rokprognozy=2046 i lp=23</v>
      </c>
      <c r="AM26" s="15" t="str">
        <f t="shared" si="5"/>
        <v>rokprognozy=2047 i lp=23</v>
      </c>
      <c r="AN26" s="15" t="str">
        <f t="shared" si="5"/>
        <v>rokprognozy=2048 i lp=23</v>
      </c>
      <c r="AO26" s="15" t="str">
        <f t="shared" si="5"/>
        <v>rokprognozy=2049 i lp=23</v>
      </c>
      <c r="AP26" s="15" t="str">
        <f t="shared" si="5"/>
        <v>rokprognozy=2050 i lp=23</v>
      </c>
    </row>
    <row r="27" spans="1:42" ht="15" customHeight="1" thickBot="1">
      <c r="A27" s="8">
        <v>24</v>
      </c>
      <c r="B27" s="17" t="s">
        <v>63</v>
      </c>
      <c r="C27" s="24" t="s">
        <v>64</v>
      </c>
      <c r="D27" s="15" t="str">
        <f t="shared" si="2"/>
        <v>rokprognozy=2012 i lp=24</v>
      </c>
      <c r="E27" s="15" t="str">
        <f t="shared" si="2"/>
        <v>rokprognozy=2013 i lp=24</v>
      </c>
      <c r="F27" s="15" t="str">
        <f t="shared" si="2"/>
        <v>rokprognozy=2014 i lp=24</v>
      </c>
      <c r="G27" s="15" t="str">
        <f t="shared" si="2"/>
        <v>rokprognozy=2015 i lp=24</v>
      </c>
      <c r="H27" s="15" t="str">
        <f t="shared" si="2"/>
        <v>rokprognozy=2016 i lp=24</v>
      </c>
      <c r="I27" s="15" t="str">
        <f t="shared" si="2"/>
        <v>rokprognozy=2017 i lp=24</v>
      </c>
      <c r="J27" s="15" t="str">
        <f t="shared" si="2"/>
        <v>rokprognozy=2018 i lp=24</v>
      </c>
      <c r="K27" s="15" t="str">
        <f t="shared" si="2"/>
        <v>rokprognozy=2019 i lp=24</v>
      </c>
      <c r="L27" s="15" t="str">
        <f t="shared" si="2"/>
        <v>rokprognozy=2020 i lp=24</v>
      </c>
      <c r="M27" s="15" t="str">
        <f t="shared" si="4"/>
        <v>rokprognozy=2021 i lp=24</v>
      </c>
      <c r="N27" s="15" t="str">
        <f t="shared" si="4"/>
        <v>rokprognozy=2022 i lp=24</v>
      </c>
      <c r="O27" s="15" t="str">
        <f t="shared" si="4"/>
        <v>rokprognozy=2023 i lp=24</v>
      </c>
      <c r="P27" s="15" t="str">
        <f t="shared" si="4"/>
        <v>rokprognozy=2024 i lp=24</v>
      </c>
      <c r="Q27" s="15" t="str">
        <f t="shared" si="4"/>
        <v>rokprognozy=2025 i lp=24</v>
      </c>
      <c r="R27" s="15" t="str">
        <f t="shared" si="4"/>
        <v>rokprognozy=2026 i lp=24</v>
      </c>
      <c r="S27" s="15" t="str">
        <f t="shared" si="4"/>
        <v>rokprognozy=2027 i lp=24</v>
      </c>
      <c r="T27" s="15" t="str">
        <f t="shared" si="4"/>
        <v>rokprognozy=2028 i lp=24</v>
      </c>
      <c r="U27" s="15" t="str">
        <f t="shared" si="4"/>
        <v>rokprognozy=2029 i lp=24</v>
      </c>
      <c r="V27" s="15" t="str">
        <f t="shared" si="4"/>
        <v>rokprognozy=2030 i lp=24</v>
      </c>
      <c r="W27" s="15" t="str">
        <f t="shared" si="4"/>
        <v>rokprognozy=2031 i lp=24</v>
      </c>
      <c r="X27" s="15" t="str">
        <f t="shared" si="4"/>
        <v>rokprognozy=2032 i lp=24</v>
      </c>
      <c r="Y27" s="15" t="str">
        <f t="shared" si="4"/>
        <v>rokprognozy=2033 i lp=24</v>
      </c>
      <c r="Z27" s="15" t="str">
        <f t="shared" si="4"/>
        <v>rokprognozy=2034 i lp=24</v>
      </c>
      <c r="AA27" s="15" t="str">
        <f t="shared" si="4"/>
        <v>rokprognozy=2035 i lp=24</v>
      </c>
      <c r="AB27" s="15" t="str">
        <f t="shared" si="4"/>
        <v>rokprognozy=2036 i lp=24</v>
      </c>
      <c r="AC27" s="15" t="str">
        <f t="shared" si="5"/>
        <v>rokprognozy=2037 i lp=24</v>
      </c>
      <c r="AD27" s="15" t="str">
        <f t="shared" si="5"/>
        <v>rokprognozy=2038 i lp=24</v>
      </c>
      <c r="AE27" s="15" t="str">
        <f t="shared" si="5"/>
        <v>rokprognozy=2039 i lp=24</v>
      </c>
      <c r="AF27" s="15" t="str">
        <f t="shared" si="5"/>
        <v>rokprognozy=2040 i lp=24</v>
      </c>
      <c r="AG27" s="15" t="str">
        <f t="shared" si="5"/>
        <v>rokprognozy=2041 i lp=24</v>
      </c>
      <c r="AH27" s="15" t="str">
        <f t="shared" si="5"/>
        <v>rokprognozy=2042 i lp=24</v>
      </c>
      <c r="AI27" s="15" t="str">
        <f t="shared" si="5"/>
        <v>rokprognozy=2043 i lp=24</v>
      </c>
      <c r="AJ27" s="15" t="str">
        <f t="shared" si="5"/>
        <v>rokprognozy=2044 i lp=24</v>
      </c>
      <c r="AK27" s="15" t="str">
        <f t="shared" si="5"/>
        <v>rokprognozy=2045 i lp=24</v>
      </c>
      <c r="AL27" s="15" t="str">
        <f t="shared" si="5"/>
        <v>rokprognozy=2046 i lp=24</v>
      </c>
      <c r="AM27" s="15" t="str">
        <f t="shared" si="5"/>
        <v>rokprognozy=2047 i lp=24</v>
      </c>
      <c r="AN27" s="15" t="str">
        <f t="shared" si="5"/>
        <v>rokprognozy=2048 i lp=24</v>
      </c>
      <c r="AO27" s="15" t="str">
        <f t="shared" si="5"/>
        <v>rokprognozy=2049 i lp=24</v>
      </c>
      <c r="AP27" s="15" t="str">
        <f t="shared" si="5"/>
        <v>rokprognozy=2050 i lp=24</v>
      </c>
    </row>
    <row r="28" spans="1:42" ht="14.25" customHeight="1">
      <c r="A28" s="9">
        <v>25</v>
      </c>
      <c r="B28" s="17">
        <v>8</v>
      </c>
      <c r="C28" s="25" t="s">
        <v>65</v>
      </c>
      <c r="D28" s="15" t="str">
        <f t="shared" si="2"/>
        <v>rokprognozy=2012 i lp=25</v>
      </c>
      <c r="E28" s="15" t="str">
        <f t="shared" si="2"/>
        <v>rokprognozy=2013 i lp=25</v>
      </c>
      <c r="F28" s="15" t="str">
        <f t="shared" si="2"/>
        <v>rokprognozy=2014 i lp=25</v>
      </c>
      <c r="G28" s="15" t="str">
        <f t="shared" si="2"/>
        <v>rokprognozy=2015 i lp=25</v>
      </c>
      <c r="H28" s="15" t="str">
        <f t="shared" si="2"/>
        <v>rokprognozy=2016 i lp=25</v>
      </c>
      <c r="I28" s="15" t="str">
        <f t="shared" si="2"/>
        <v>rokprognozy=2017 i lp=25</v>
      </c>
      <c r="J28" s="15" t="str">
        <f t="shared" si="2"/>
        <v>rokprognozy=2018 i lp=25</v>
      </c>
      <c r="K28" s="15" t="str">
        <f t="shared" si="2"/>
        <v>rokprognozy=2019 i lp=25</v>
      </c>
      <c r="L28" s="15" t="str">
        <f t="shared" si="2"/>
        <v>rokprognozy=2020 i lp=25</v>
      </c>
      <c r="M28" s="15" t="str">
        <f t="shared" si="4"/>
        <v>rokprognozy=2021 i lp=25</v>
      </c>
      <c r="N28" s="15" t="str">
        <f t="shared" si="4"/>
        <v>rokprognozy=2022 i lp=25</v>
      </c>
      <c r="O28" s="15" t="str">
        <f t="shared" si="4"/>
        <v>rokprognozy=2023 i lp=25</v>
      </c>
      <c r="P28" s="15" t="str">
        <f t="shared" si="4"/>
        <v>rokprognozy=2024 i lp=25</v>
      </c>
      <c r="Q28" s="15" t="str">
        <f t="shared" si="4"/>
        <v>rokprognozy=2025 i lp=25</v>
      </c>
      <c r="R28" s="15" t="str">
        <f t="shared" si="4"/>
        <v>rokprognozy=2026 i lp=25</v>
      </c>
      <c r="S28" s="15" t="str">
        <f t="shared" si="4"/>
        <v>rokprognozy=2027 i lp=25</v>
      </c>
      <c r="T28" s="15" t="str">
        <f t="shared" si="4"/>
        <v>rokprognozy=2028 i lp=25</v>
      </c>
      <c r="U28" s="15" t="str">
        <f t="shared" si="4"/>
        <v>rokprognozy=2029 i lp=25</v>
      </c>
      <c r="V28" s="15" t="str">
        <f t="shared" si="4"/>
        <v>rokprognozy=2030 i lp=25</v>
      </c>
      <c r="W28" s="15" t="str">
        <f t="shared" si="4"/>
        <v>rokprognozy=2031 i lp=25</v>
      </c>
      <c r="X28" s="15" t="str">
        <f t="shared" si="4"/>
        <v>rokprognozy=2032 i lp=25</v>
      </c>
      <c r="Y28" s="15" t="str">
        <f t="shared" si="4"/>
        <v>rokprognozy=2033 i lp=25</v>
      </c>
      <c r="Z28" s="15" t="str">
        <f t="shared" si="4"/>
        <v>rokprognozy=2034 i lp=25</v>
      </c>
      <c r="AA28" s="15" t="str">
        <f t="shared" si="4"/>
        <v>rokprognozy=2035 i lp=25</v>
      </c>
      <c r="AB28" s="15" t="str">
        <f t="shared" si="4"/>
        <v>rokprognozy=2036 i lp=25</v>
      </c>
      <c r="AC28" s="15" t="str">
        <f t="shared" si="5"/>
        <v>rokprognozy=2037 i lp=25</v>
      </c>
      <c r="AD28" s="15" t="str">
        <f t="shared" si="5"/>
        <v>rokprognozy=2038 i lp=25</v>
      </c>
      <c r="AE28" s="15" t="str">
        <f t="shared" si="5"/>
        <v>rokprognozy=2039 i lp=25</v>
      </c>
      <c r="AF28" s="15" t="str">
        <f t="shared" si="5"/>
        <v>rokprognozy=2040 i lp=25</v>
      </c>
      <c r="AG28" s="15" t="str">
        <f t="shared" si="5"/>
        <v>rokprognozy=2041 i lp=25</v>
      </c>
      <c r="AH28" s="15" t="str">
        <f t="shared" si="5"/>
        <v>rokprognozy=2042 i lp=25</v>
      </c>
      <c r="AI28" s="15" t="str">
        <f t="shared" si="5"/>
        <v>rokprognozy=2043 i lp=25</v>
      </c>
      <c r="AJ28" s="15" t="str">
        <f t="shared" si="5"/>
        <v>rokprognozy=2044 i lp=25</v>
      </c>
      <c r="AK28" s="15" t="str">
        <f t="shared" si="5"/>
        <v>rokprognozy=2045 i lp=25</v>
      </c>
      <c r="AL28" s="15" t="str">
        <f t="shared" si="5"/>
        <v>rokprognozy=2046 i lp=25</v>
      </c>
      <c r="AM28" s="15" t="str">
        <f t="shared" si="5"/>
        <v>rokprognozy=2047 i lp=25</v>
      </c>
      <c r="AN28" s="15" t="str">
        <f t="shared" si="5"/>
        <v>rokprognozy=2048 i lp=25</v>
      </c>
      <c r="AO28" s="15" t="str">
        <f t="shared" si="5"/>
        <v>rokprognozy=2049 i lp=25</v>
      </c>
      <c r="AP28" s="15" t="str">
        <f t="shared" si="5"/>
        <v>rokprognozy=2050 i lp=25</v>
      </c>
    </row>
    <row r="29" spans="1:42" ht="14.25" customHeight="1">
      <c r="A29" s="5">
        <v>26</v>
      </c>
      <c r="B29" s="17">
        <v>9</v>
      </c>
      <c r="C29" s="1" t="s">
        <v>66</v>
      </c>
      <c r="D29" s="15" t="str">
        <f t="shared" si="2"/>
        <v>rokprognozy=2012 i lp=26</v>
      </c>
      <c r="E29" s="15" t="str">
        <f t="shared" si="2"/>
        <v>rokprognozy=2013 i lp=26</v>
      </c>
      <c r="F29" s="15" t="str">
        <f t="shared" si="2"/>
        <v>rokprognozy=2014 i lp=26</v>
      </c>
      <c r="G29" s="15" t="str">
        <f t="shared" si="2"/>
        <v>rokprognozy=2015 i lp=26</v>
      </c>
      <c r="H29" s="15" t="str">
        <f t="shared" si="2"/>
        <v>rokprognozy=2016 i lp=26</v>
      </c>
      <c r="I29" s="15" t="str">
        <f t="shared" si="2"/>
        <v>rokprognozy=2017 i lp=26</v>
      </c>
      <c r="J29" s="15" t="str">
        <f t="shared" si="2"/>
        <v>rokprognozy=2018 i lp=26</v>
      </c>
      <c r="K29" s="15" t="str">
        <f t="shared" si="2"/>
        <v>rokprognozy=2019 i lp=26</v>
      </c>
      <c r="L29" s="15" t="str">
        <f t="shared" si="2"/>
        <v>rokprognozy=2020 i lp=26</v>
      </c>
      <c r="M29" s="15" t="str">
        <f t="shared" si="4"/>
        <v>rokprognozy=2021 i lp=26</v>
      </c>
      <c r="N29" s="15" t="str">
        <f t="shared" si="4"/>
        <v>rokprognozy=2022 i lp=26</v>
      </c>
      <c r="O29" s="15" t="str">
        <f t="shared" si="4"/>
        <v>rokprognozy=2023 i lp=26</v>
      </c>
      <c r="P29" s="15" t="str">
        <f t="shared" si="4"/>
        <v>rokprognozy=2024 i lp=26</v>
      </c>
      <c r="Q29" s="15" t="str">
        <f t="shared" si="4"/>
        <v>rokprognozy=2025 i lp=26</v>
      </c>
      <c r="R29" s="15" t="str">
        <f t="shared" si="4"/>
        <v>rokprognozy=2026 i lp=26</v>
      </c>
      <c r="S29" s="15" t="str">
        <f t="shared" si="4"/>
        <v>rokprognozy=2027 i lp=26</v>
      </c>
      <c r="T29" s="15" t="str">
        <f t="shared" si="4"/>
        <v>rokprognozy=2028 i lp=26</v>
      </c>
      <c r="U29" s="15" t="str">
        <f t="shared" si="4"/>
        <v>rokprognozy=2029 i lp=26</v>
      </c>
      <c r="V29" s="15" t="str">
        <f t="shared" si="4"/>
        <v>rokprognozy=2030 i lp=26</v>
      </c>
      <c r="W29" s="15" t="str">
        <f t="shared" si="4"/>
        <v>rokprognozy=2031 i lp=26</v>
      </c>
      <c r="X29" s="15" t="str">
        <f t="shared" si="4"/>
        <v>rokprognozy=2032 i lp=26</v>
      </c>
      <c r="Y29" s="15" t="str">
        <f t="shared" si="4"/>
        <v>rokprognozy=2033 i lp=26</v>
      </c>
      <c r="Z29" s="15" t="str">
        <f t="shared" si="4"/>
        <v>rokprognozy=2034 i lp=26</v>
      </c>
      <c r="AA29" s="15" t="str">
        <f t="shared" si="4"/>
        <v>rokprognozy=2035 i lp=26</v>
      </c>
      <c r="AB29" s="15" t="str">
        <f t="shared" si="4"/>
        <v>rokprognozy=2036 i lp=26</v>
      </c>
      <c r="AC29" s="15" t="str">
        <f t="shared" si="5"/>
        <v>rokprognozy=2037 i lp=26</v>
      </c>
      <c r="AD29" s="15" t="str">
        <f t="shared" si="5"/>
        <v>rokprognozy=2038 i lp=26</v>
      </c>
      <c r="AE29" s="15" t="str">
        <f t="shared" si="5"/>
        <v>rokprognozy=2039 i lp=26</v>
      </c>
      <c r="AF29" s="15" t="str">
        <f t="shared" si="5"/>
        <v>rokprognozy=2040 i lp=26</v>
      </c>
      <c r="AG29" s="15" t="str">
        <f t="shared" si="5"/>
        <v>rokprognozy=2041 i lp=26</v>
      </c>
      <c r="AH29" s="15" t="str">
        <f t="shared" si="5"/>
        <v>rokprognozy=2042 i lp=26</v>
      </c>
      <c r="AI29" s="15" t="str">
        <f t="shared" si="5"/>
        <v>rokprognozy=2043 i lp=26</v>
      </c>
      <c r="AJ29" s="15" t="str">
        <f t="shared" si="5"/>
        <v>rokprognozy=2044 i lp=26</v>
      </c>
      <c r="AK29" s="15" t="str">
        <f t="shared" si="5"/>
        <v>rokprognozy=2045 i lp=26</v>
      </c>
      <c r="AL29" s="15" t="str">
        <f t="shared" si="5"/>
        <v>rokprognozy=2046 i lp=26</v>
      </c>
      <c r="AM29" s="15" t="str">
        <f t="shared" si="5"/>
        <v>rokprognozy=2047 i lp=26</v>
      </c>
      <c r="AN29" s="15" t="str">
        <f t="shared" si="5"/>
        <v>rokprognozy=2048 i lp=26</v>
      </c>
      <c r="AO29" s="15" t="str">
        <f t="shared" si="5"/>
        <v>rokprognozy=2049 i lp=26</v>
      </c>
      <c r="AP29" s="15" t="str">
        <f t="shared" si="5"/>
        <v>rokprognozy=2050 i lp=26</v>
      </c>
    </row>
    <row r="30" spans="1:42" ht="14.25" customHeight="1">
      <c r="A30" s="5">
        <v>27</v>
      </c>
      <c r="B30" s="17">
        <v>10</v>
      </c>
      <c r="C30" s="1" t="s">
        <v>7</v>
      </c>
      <c r="D30" s="15" t="str">
        <f t="shared" si="2"/>
        <v>rokprognozy=2012 i lp=27</v>
      </c>
      <c r="E30" s="15" t="str">
        <f t="shared" si="2"/>
        <v>rokprognozy=2013 i lp=27</v>
      </c>
      <c r="F30" s="15" t="str">
        <f t="shared" si="2"/>
        <v>rokprognozy=2014 i lp=27</v>
      </c>
      <c r="G30" s="15" t="str">
        <f t="shared" ref="D30:S45" si="6">+"rokprognozy="&amp;G$3&amp;" i lp="&amp;$A30</f>
        <v>rokprognozy=2015 i lp=27</v>
      </c>
      <c r="H30" s="15" t="str">
        <f t="shared" si="6"/>
        <v>rokprognozy=2016 i lp=27</v>
      </c>
      <c r="I30" s="15" t="str">
        <f t="shared" si="6"/>
        <v>rokprognozy=2017 i lp=27</v>
      </c>
      <c r="J30" s="15" t="str">
        <f t="shared" si="6"/>
        <v>rokprognozy=2018 i lp=27</v>
      </c>
      <c r="K30" s="15" t="str">
        <f t="shared" si="6"/>
        <v>rokprognozy=2019 i lp=27</v>
      </c>
      <c r="L30" s="15" t="str">
        <f t="shared" si="6"/>
        <v>rokprognozy=2020 i lp=27</v>
      </c>
      <c r="M30" s="15" t="str">
        <f t="shared" si="4"/>
        <v>rokprognozy=2021 i lp=27</v>
      </c>
      <c r="N30" s="15" t="str">
        <f t="shared" si="4"/>
        <v>rokprognozy=2022 i lp=27</v>
      </c>
      <c r="O30" s="15" t="str">
        <f t="shared" si="4"/>
        <v>rokprognozy=2023 i lp=27</v>
      </c>
      <c r="P30" s="15" t="str">
        <f t="shared" si="4"/>
        <v>rokprognozy=2024 i lp=27</v>
      </c>
      <c r="Q30" s="15" t="str">
        <f t="shared" si="4"/>
        <v>rokprognozy=2025 i lp=27</v>
      </c>
      <c r="R30" s="15" t="str">
        <f t="shared" si="4"/>
        <v>rokprognozy=2026 i lp=27</v>
      </c>
      <c r="S30" s="15" t="str">
        <f t="shared" si="4"/>
        <v>rokprognozy=2027 i lp=27</v>
      </c>
      <c r="T30" s="15" t="str">
        <f t="shared" si="4"/>
        <v>rokprognozy=2028 i lp=27</v>
      </c>
      <c r="U30" s="15" t="str">
        <f t="shared" si="4"/>
        <v>rokprognozy=2029 i lp=27</v>
      </c>
      <c r="V30" s="15" t="str">
        <f t="shared" si="4"/>
        <v>rokprognozy=2030 i lp=27</v>
      </c>
      <c r="W30" s="15" t="str">
        <f t="shared" si="4"/>
        <v>rokprognozy=2031 i lp=27</v>
      </c>
      <c r="X30" s="15" t="str">
        <f t="shared" si="4"/>
        <v>rokprognozy=2032 i lp=27</v>
      </c>
      <c r="Y30" s="15" t="str">
        <f t="shared" si="4"/>
        <v>rokprognozy=2033 i lp=27</v>
      </c>
      <c r="Z30" s="15" t="str">
        <f t="shared" si="4"/>
        <v>rokprognozy=2034 i lp=27</v>
      </c>
      <c r="AA30" s="15" t="str">
        <f t="shared" si="4"/>
        <v>rokprognozy=2035 i lp=27</v>
      </c>
      <c r="AB30" s="15" t="str">
        <f t="shared" si="4"/>
        <v>rokprognozy=2036 i lp=27</v>
      </c>
      <c r="AC30" s="15" t="str">
        <f t="shared" si="5"/>
        <v>rokprognozy=2037 i lp=27</v>
      </c>
      <c r="AD30" s="15" t="str">
        <f t="shared" si="5"/>
        <v>rokprognozy=2038 i lp=27</v>
      </c>
      <c r="AE30" s="15" t="str">
        <f t="shared" si="5"/>
        <v>rokprognozy=2039 i lp=27</v>
      </c>
      <c r="AF30" s="15" t="str">
        <f t="shared" si="5"/>
        <v>rokprognozy=2040 i lp=27</v>
      </c>
      <c r="AG30" s="15" t="str">
        <f t="shared" si="5"/>
        <v>rokprognozy=2041 i lp=27</v>
      </c>
      <c r="AH30" s="15" t="str">
        <f t="shared" si="5"/>
        <v>rokprognozy=2042 i lp=27</v>
      </c>
      <c r="AI30" s="15" t="str">
        <f t="shared" si="5"/>
        <v>rokprognozy=2043 i lp=27</v>
      </c>
      <c r="AJ30" s="15" t="str">
        <f t="shared" si="5"/>
        <v>rokprognozy=2044 i lp=27</v>
      </c>
      <c r="AK30" s="15" t="str">
        <f t="shared" si="5"/>
        <v>rokprognozy=2045 i lp=27</v>
      </c>
      <c r="AL30" s="15" t="str">
        <f t="shared" si="5"/>
        <v>rokprognozy=2046 i lp=27</v>
      </c>
      <c r="AM30" s="15" t="str">
        <f t="shared" si="5"/>
        <v>rokprognozy=2047 i lp=27</v>
      </c>
      <c r="AN30" s="15" t="str">
        <f t="shared" si="5"/>
        <v>rokprognozy=2048 i lp=27</v>
      </c>
      <c r="AO30" s="15" t="str">
        <f t="shared" si="5"/>
        <v>rokprognozy=2049 i lp=27</v>
      </c>
      <c r="AP30" s="15" t="str">
        <f t="shared" si="5"/>
        <v>rokprognozy=2050 i lp=27</v>
      </c>
    </row>
    <row r="31" spans="1:42" ht="14.25" customHeight="1">
      <c r="A31" s="6">
        <v>28</v>
      </c>
      <c r="B31" s="17" t="s">
        <v>67</v>
      </c>
      <c r="C31" s="19" t="s">
        <v>68</v>
      </c>
      <c r="D31" s="15" t="str">
        <f t="shared" si="6"/>
        <v>rokprognozy=2012 i lp=28</v>
      </c>
      <c r="E31" s="15" t="str">
        <f t="shared" si="6"/>
        <v>rokprognozy=2013 i lp=28</v>
      </c>
      <c r="F31" s="15" t="str">
        <f t="shared" si="6"/>
        <v>rokprognozy=2014 i lp=28</v>
      </c>
      <c r="G31" s="15" t="str">
        <f t="shared" si="6"/>
        <v>rokprognozy=2015 i lp=28</v>
      </c>
      <c r="H31" s="15" t="str">
        <f t="shared" si="6"/>
        <v>rokprognozy=2016 i lp=28</v>
      </c>
      <c r="I31" s="15" t="str">
        <f t="shared" si="6"/>
        <v>rokprognozy=2017 i lp=28</v>
      </c>
      <c r="J31" s="15" t="str">
        <f t="shared" si="6"/>
        <v>rokprognozy=2018 i lp=28</v>
      </c>
      <c r="K31" s="15" t="str">
        <f t="shared" si="6"/>
        <v>rokprognozy=2019 i lp=28</v>
      </c>
      <c r="L31" s="15" t="str">
        <f t="shared" si="6"/>
        <v>rokprognozy=2020 i lp=28</v>
      </c>
      <c r="M31" s="15" t="str">
        <f t="shared" si="4"/>
        <v>rokprognozy=2021 i lp=28</v>
      </c>
      <c r="N31" s="15" t="str">
        <f t="shared" si="4"/>
        <v>rokprognozy=2022 i lp=28</v>
      </c>
      <c r="O31" s="15" t="str">
        <f t="shared" si="4"/>
        <v>rokprognozy=2023 i lp=28</v>
      </c>
      <c r="P31" s="15" t="str">
        <f t="shared" si="4"/>
        <v>rokprognozy=2024 i lp=28</v>
      </c>
      <c r="Q31" s="15" t="str">
        <f t="shared" si="4"/>
        <v>rokprognozy=2025 i lp=28</v>
      </c>
      <c r="R31" s="15" t="str">
        <f t="shared" si="4"/>
        <v>rokprognozy=2026 i lp=28</v>
      </c>
      <c r="S31" s="15" t="str">
        <f t="shared" si="4"/>
        <v>rokprognozy=2027 i lp=28</v>
      </c>
      <c r="T31" s="15" t="str">
        <f t="shared" si="4"/>
        <v>rokprognozy=2028 i lp=28</v>
      </c>
      <c r="U31" s="15" t="str">
        <f t="shared" si="4"/>
        <v>rokprognozy=2029 i lp=28</v>
      </c>
      <c r="V31" s="15" t="str">
        <f t="shared" si="4"/>
        <v>rokprognozy=2030 i lp=28</v>
      </c>
      <c r="W31" s="15" t="str">
        <f t="shared" si="4"/>
        <v>rokprognozy=2031 i lp=28</v>
      </c>
      <c r="X31" s="15" t="str">
        <f t="shared" si="4"/>
        <v>rokprognozy=2032 i lp=28</v>
      </c>
      <c r="Y31" s="15" t="str">
        <f t="shared" si="4"/>
        <v>rokprognozy=2033 i lp=28</v>
      </c>
      <c r="Z31" s="15" t="str">
        <f t="shared" si="4"/>
        <v>rokprognozy=2034 i lp=28</v>
      </c>
      <c r="AA31" s="15" t="str">
        <f t="shared" si="4"/>
        <v>rokprognozy=2035 i lp=28</v>
      </c>
      <c r="AB31" s="15" t="str">
        <f t="shared" si="4"/>
        <v>rokprognozy=2036 i lp=28</v>
      </c>
      <c r="AC31" s="15" t="str">
        <f t="shared" si="5"/>
        <v>rokprognozy=2037 i lp=28</v>
      </c>
      <c r="AD31" s="15" t="str">
        <f t="shared" si="5"/>
        <v>rokprognozy=2038 i lp=28</v>
      </c>
      <c r="AE31" s="15" t="str">
        <f t="shared" si="5"/>
        <v>rokprognozy=2039 i lp=28</v>
      </c>
      <c r="AF31" s="15" t="str">
        <f t="shared" si="5"/>
        <v>rokprognozy=2040 i lp=28</v>
      </c>
      <c r="AG31" s="15" t="str">
        <f t="shared" si="5"/>
        <v>rokprognozy=2041 i lp=28</v>
      </c>
      <c r="AH31" s="15" t="str">
        <f t="shared" si="5"/>
        <v>rokprognozy=2042 i lp=28</v>
      </c>
      <c r="AI31" s="15" t="str">
        <f t="shared" si="5"/>
        <v>rokprognozy=2043 i lp=28</v>
      </c>
      <c r="AJ31" s="15" t="str">
        <f t="shared" si="5"/>
        <v>rokprognozy=2044 i lp=28</v>
      </c>
      <c r="AK31" s="15" t="str">
        <f t="shared" si="5"/>
        <v>rokprognozy=2045 i lp=28</v>
      </c>
      <c r="AL31" s="15" t="str">
        <f t="shared" si="5"/>
        <v>rokprognozy=2046 i lp=28</v>
      </c>
      <c r="AM31" s="15" t="str">
        <f t="shared" si="5"/>
        <v>rokprognozy=2047 i lp=28</v>
      </c>
      <c r="AN31" s="15" t="str">
        <f t="shared" si="5"/>
        <v>rokprognozy=2048 i lp=28</v>
      </c>
      <c r="AO31" s="15" t="str">
        <f t="shared" si="5"/>
        <v>rokprognozy=2049 i lp=28</v>
      </c>
      <c r="AP31" s="15" t="str">
        <f t="shared" si="5"/>
        <v>rokprognozy=2050 i lp=28</v>
      </c>
    </row>
    <row r="32" spans="1:42" ht="49.5" customHeight="1">
      <c r="A32" s="6">
        <v>29</v>
      </c>
      <c r="B32" s="17" t="s">
        <v>69</v>
      </c>
      <c r="C32" s="19" t="s">
        <v>50</v>
      </c>
      <c r="D32" s="15" t="str">
        <f t="shared" si="6"/>
        <v>rokprognozy=2012 i lp=29</v>
      </c>
      <c r="E32" s="15" t="str">
        <f t="shared" si="6"/>
        <v>rokprognozy=2013 i lp=29</v>
      </c>
      <c r="F32" s="16" t="str">
        <f t="shared" si="6"/>
        <v>rokprognozy=2014 i lp=29</v>
      </c>
      <c r="G32" s="16" t="str">
        <f t="shared" si="6"/>
        <v>rokprognozy=2015 i lp=29</v>
      </c>
      <c r="H32" s="16" t="str">
        <f t="shared" si="6"/>
        <v>rokprognozy=2016 i lp=29</v>
      </c>
      <c r="I32" s="16" t="str">
        <f t="shared" si="6"/>
        <v>rokprognozy=2017 i lp=29</v>
      </c>
      <c r="J32" s="16" t="str">
        <f t="shared" si="6"/>
        <v>rokprognozy=2018 i lp=29</v>
      </c>
      <c r="K32" s="16" t="str">
        <f t="shared" si="6"/>
        <v>rokprognozy=2019 i lp=29</v>
      </c>
      <c r="L32" s="16" t="str">
        <f t="shared" si="6"/>
        <v>rokprognozy=2020 i lp=29</v>
      </c>
      <c r="M32" s="16" t="str">
        <f t="shared" si="4"/>
        <v>rokprognozy=2021 i lp=29</v>
      </c>
      <c r="N32" s="16" t="str">
        <f t="shared" si="4"/>
        <v>rokprognozy=2022 i lp=29</v>
      </c>
      <c r="O32" s="16" t="str">
        <f t="shared" si="4"/>
        <v>rokprognozy=2023 i lp=29</v>
      </c>
      <c r="P32" s="16" t="str">
        <f t="shared" si="4"/>
        <v>rokprognozy=2024 i lp=29</v>
      </c>
      <c r="Q32" s="16" t="str">
        <f t="shared" si="4"/>
        <v>rokprognozy=2025 i lp=29</v>
      </c>
      <c r="R32" s="16" t="str">
        <f t="shared" si="4"/>
        <v>rokprognozy=2026 i lp=29</v>
      </c>
      <c r="S32" s="16" t="str">
        <f t="shared" si="4"/>
        <v>rokprognozy=2027 i lp=29</v>
      </c>
      <c r="T32" s="16" t="str">
        <f t="shared" si="4"/>
        <v>rokprognozy=2028 i lp=29</v>
      </c>
      <c r="U32" s="16" t="str">
        <f t="shared" si="4"/>
        <v>rokprognozy=2029 i lp=29</v>
      </c>
      <c r="V32" s="16" t="str">
        <f t="shared" si="4"/>
        <v>rokprognozy=2030 i lp=29</v>
      </c>
      <c r="W32" s="16" t="str">
        <f t="shared" si="4"/>
        <v>rokprognozy=2031 i lp=29</v>
      </c>
      <c r="X32" s="16" t="str">
        <f t="shared" si="4"/>
        <v>rokprognozy=2032 i lp=29</v>
      </c>
      <c r="Y32" s="16" t="str">
        <f t="shared" si="4"/>
        <v>rokprognozy=2033 i lp=29</v>
      </c>
      <c r="Z32" s="16" t="str">
        <f t="shared" si="4"/>
        <v>rokprognozy=2034 i lp=29</v>
      </c>
      <c r="AA32" s="16" t="str">
        <f t="shared" si="4"/>
        <v>rokprognozy=2035 i lp=29</v>
      </c>
      <c r="AB32" s="16" t="str">
        <f>+"rokprognozy="&amp;AB$3&amp;" i lp="&amp;$A32</f>
        <v>rokprognozy=2036 i lp=29</v>
      </c>
      <c r="AC32" s="16" t="str">
        <f t="shared" si="5"/>
        <v>rokprognozy=2037 i lp=29</v>
      </c>
      <c r="AD32" s="16" t="str">
        <f t="shared" si="5"/>
        <v>rokprognozy=2038 i lp=29</v>
      </c>
      <c r="AE32" s="16" t="str">
        <f t="shared" si="5"/>
        <v>rokprognozy=2039 i lp=29</v>
      </c>
      <c r="AF32" s="16" t="str">
        <f t="shared" si="5"/>
        <v>rokprognozy=2040 i lp=29</v>
      </c>
      <c r="AG32" s="16" t="str">
        <f t="shared" si="5"/>
        <v>rokprognozy=2041 i lp=29</v>
      </c>
      <c r="AH32" s="16" t="str">
        <f t="shared" si="5"/>
        <v>rokprognozy=2042 i lp=29</v>
      </c>
      <c r="AI32" s="16" t="str">
        <f t="shared" si="5"/>
        <v>rokprognozy=2043 i lp=29</v>
      </c>
      <c r="AJ32" s="16" t="str">
        <f t="shared" si="5"/>
        <v>rokprognozy=2044 i lp=29</v>
      </c>
      <c r="AK32" s="16" t="str">
        <f t="shared" si="5"/>
        <v>rokprognozy=2045 i lp=29</v>
      </c>
      <c r="AL32" s="16" t="str">
        <f t="shared" si="5"/>
        <v>rokprognozy=2046 i lp=29</v>
      </c>
      <c r="AM32" s="16" t="str">
        <f t="shared" si="5"/>
        <v>rokprognozy=2047 i lp=29</v>
      </c>
      <c r="AN32" s="16" t="str">
        <f t="shared" si="5"/>
        <v>rokprognozy=2048 i lp=29</v>
      </c>
      <c r="AO32" s="16" t="str">
        <f t="shared" si="5"/>
        <v>rokprognozy=2049 i lp=29</v>
      </c>
      <c r="AP32" s="16" t="str">
        <f t="shared" si="5"/>
        <v>rokprognozy=2050 i lp=29</v>
      </c>
    </row>
    <row r="33" spans="1:42">
      <c r="A33" s="6">
        <v>30</v>
      </c>
      <c r="B33" s="17">
        <v>11</v>
      </c>
      <c r="C33" s="19" t="s">
        <v>16</v>
      </c>
      <c r="D33" s="15" t="str">
        <f t="shared" si="6"/>
        <v>rokprognozy=2012 i lp=30</v>
      </c>
      <c r="E33" s="15" t="str">
        <f t="shared" si="6"/>
        <v>rokprognozy=2013 i lp=30</v>
      </c>
      <c r="F33" s="16" t="str">
        <f t="shared" si="6"/>
        <v>rokprognozy=2014 i lp=30</v>
      </c>
      <c r="G33" s="16" t="str">
        <f t="shared" si="6"/>
        <v>rokprognozy=2015 i lp=30</v>
      </c>
      <c r="H33" s="16" t="str">
        <f t="shared" si="6"/>
        <v>rokprognozy=2016 i lp=30</v>
      </c>
      <c r="I33" s="16" t="str">
        <f t="shared" si="6"/>
        <v>rokprognozy=2017 i lp=30</v>
      </c>
      <c r="J33" s="16" t="str">
        <f t="shared" si="6"/>
        <v>rokprognozy=2018 i lp=30</v>
      </c>
      <c r="K33" s="16" t="str">
        <f t="shared" si="6"/>
        <v>rokprognozy=2019 i lp=30</v>
      </c>
      <c r="L33" s="16" t="str">
        <f t="shared" si="6"/>
        <v>rokprognozy=2020 i lp=30</v>
      </c>
      <c r="M33" s="16" t="str">
        <f t="shared" si="6"/>
        <v>rokprognozy=2021 i lp=30</v>
      </c>
      <c r="N33" s="16" t="str">
        <f t="shared" si="6"/>
        <v>rokprognozy=2022 i lp=30</v>
      </c>
      <c r="O33" s="16" t="str">
        <f t="shared" si="6"/>
        <v>rokprognozy=2023 i lp=30</v>
      </c>
      <c r="P33" s="16" t="str">
        <f t="shared" si="6"/>
        <v>rokprognozy=2024 i lp=30</v>
      </c>
      <c r="Q33" s="16" t="str">
        <f t="shared" si="6"/>
        <v>rokprognozy=2025 i lp=30</v>
      </c>
      <c r="R33" s="16" t="str">
        <f t="shared" si="6"/>
        <v>rokprognozy=2026 i lp=30</v>
      </c>
      <c r="S33" s="16" t="str">
        <f t="shared" si="6"/>
        <v>rokprognozy=2027 i lp=30</v>
      </c>
      <c r="T33" s="16" t="str">
        <f t="shared" ref="M33:AB49" si="7">+"rokprognozy="&amp;T$3&amp;" i lp="&amp;$A33</f>
        <v>rokprognozy=2028 i lp=30</v>
      </c>
      <c r="U33" s="16" t="str">
        <f t="shared" si="7"/>
        <v>rokprognozy=2029 i lp=30</v>
      </c>
      <c r="V33" s="16" t="str">
        <f t="shared" si="7"/>
        <v>rokprognozy=2030 i lp=30</v>
      </c>
      <c r="W33" s="16" t="str">
        <f t="shared" si="7"/>
        <v>rokprognozy=2031 i lp=30</v>
      </c>
      <c r="X33" s="16" t="str">
        <f t="shared" si="7"/>
        <v>rokprognozy=2032 i lp=30</v>
      </c>
      <c r="Y33" s="16" t="str">
        <f t="shared" si="7"/>
        <v>rokprognozy=2033 i lp=30</v>
      </c>
      <c r="Z33" s="16" t="str">
        <f t="shared" si="7"/>
        <v>rokprognozy=2034 i lp=30</v>
      </c>
      <c r="AA33" s="16" t="str">
        <f t="shared" si="7"/>
        <v>rokprognozy=2035 i lp=30</v>
      </c>
      <c r="AB33" s="16" t="str">
        <f t="shared" si="7"/>
        <v>rokprognozy=2036 i lp=30</v>
      </c>
      <c r="AC33" s="16" t="str">
        <f t="shared" si="5"/>
        <v>rokprognozy=2037 i lp=30</v>
      </c>
      <c r="AD33" s="16" t="str">
        <f t="shared" si="5"/>
        <v>rokprognozy=2038 i lp=30</v>
      </c>
      <c r="AE33" s="16" t="str">
        <f t="shared" si="5"/>
        <v>rokprognozy=2039 i lp=30</v>
      </c>
      <c r="AF33" s="16" t="str">
        <f t="shared" si="5"/>
        <v>rokprognozy=2040 i lp=30</v>
      </c>
      <c r="AG33" s="16" t="str">
        <f t="shared" si="5"/>
        <v>rokprognozy=2041 i lp=30</v>
      </c>
      <c r="AH33" s="16" t="str">
        <f t="shared" si="5"/>
        <v>rokprognozy=2042 i lp=30</v>
      </c>
      <c r="AI33" s="16" t="str">
        <f t="shared" si="5"/>
        <v>rokprognozy=2043 i lp=30</v>
      </c>
      <c r="AJ33" s="16" t="str">
        <f t="shared" si="5"/>
        <v>rokprognozy=2044 i lp=30</v>
      </c>
      <c r="AK33" s="16" t="str">
        <f t="shared" si="5"/>
        <v>rokprognozy=2045 i lp=30</v>
      </c>
      <c r="AL33" s="16" t="str">
        <f t="shared" si="5"/>
        <v>rokprognozy=2046 i lp=30</v>
      </c>
      <c r="AM33" s="16" t="str">
        <f t="shared" si="5"/>
        <v>rokprognozy=2047 i lp=30</v>
      </c>
      <c r="AN33" s="16" t="str">
        <f t="shared" si="5"/>
        <v>rokprognozy=2048 i lp=30</v>
      </c>
      <c r="AO33" s="16" t="str">
        <f t="shared" si="5"/>
        <v>rokprognozy=2049 i lp=30</v>
      </c>
      <c r="AP33" s="16" t="str">
        <f t="shared" si="5"/>
        <v>rokprognozy=2050 i lp=30</v>
      </c>
    </row>
    <row r="34" spans="1:42">
      <c r="A34" s="6">
        <v>31</v>
      </c>
      <c r="B34" s="17" t="s">
        <v>70</v>
      </c>
      <c r="C34" s="19" t="s">
        <v>53</v>
      </c>
      <c r="D34" s="15" t="str">
        <f t="shared" si="6"/>
        <v>rokprognozy=2012 i lp=31</v>
      </c>
      <c r="E34" s="15" t="str">
        <f t="shared" si="6"/>
        <v>rokprognozy=2013 i lp=31</v>
      </c>
      <c r="F34" s="16" t="str">
        <f t="shared" si="6"/>
        <v>rokprognozy=2014 i lp=31</v>
      </c>
      <c r="G34" s="16" t="str">
        <f t="shared" si="6"/>
        <v>rokprognozy=2015 i lp=31</v>
      </c>
      <c r="H34" s="16" t="str">
        <f t="shared" si="6"/>
        <v>rokprognozy=2016 i lp=31</v>
      </c>
      <c r="I34" s="16" t="str">
        <f t="shared" si="6"/>
        <v>rokprognozy=2017 i lp=31</v>
      </c>
      <c r="J34" s="16" t="str">
        <f t="shared" si="6"/>
        <v>rokprognozy=2018 i lp=31</v>
      </c>
      <c r="K34" s="16" t="str">
        <f t="shared" si="6"/>
        <v>rokprognozy=2019 i lp=31</v>
      </c>
      <c r="L34" s="16" t="str">
        <f t="shared" si="6"/>
        <v>rokprognozy=2020 i lp=31</v>
      </c>
      <c r="M34" s="16" t="str">
        <f t="shared" si="7"/>
        <v>rokprognozy=2021 i lp=31</v>
      </c>
      <c r="N34" s="16" t="str">
        <f t="shared" si="7"/>
        <v>rokprognozy=2022 i lp=31</v>
      </c>
      <c r="O34" s="16" t="str">
        <f t="shared" si="7"/>
        <v>rokprognozy=2023 i lp=31</v>
      </c>
      <c r="P34" s="16" t="str">
        <f t="shared" si="7"/>
        <v>rokprognozy=2024 i lp=31</v>
      </c>
      <c r="Q34" s="16" t="str">
        <f t="shared" si="7"/>
        <v>rokprognozy=2025 i lp=31</v>
      </c>
      <c r="R34" s="16" t="str">
        <f t="shared" si="7"/>
        <v>rokprognozy=2026 i lp=31</v>
      </c>
      <c r="S34" s="16" t="str">
        <f t="shared" si="7"/>
        <v>rokprognozy=2027 i lp=31</v>
      </c>
      <c r="T34" s="16" t="str">
        <f t="shared" si="7"/>
        <v>rokprognozy=2028 i lp=31</v>
      </c>
      <c r="U34" s="16" t="str">
        <f t="shared" si="7"/>
        <v>rokprognozy=2029 i lp=31</v>
      </c>
      <c r="V34" s="16" t="str">
        <f t="shared" si="7"/>
        <v>rokprognozy=2030 i lp=31</v>
      </c>
      <c r="W34" s="16" t="str">
        <f t="shared" si="7"/>
        <v>rokprognozy=2031 i lp=31</v>
      </c>
      <c r="X34" s="16" t="str">
        <f t="shared" si="7"/>
        <v>rokprognozy=2032 i lp=31</v>
      </c>
      <c r="Y34" s="16" t="str">
        <f t="shared" si="7"/>
        <v>rokprognozy=2033 i lp=31</v>
      </c>
      <c r="Z34" s="16" t="str">
        <f t="shared" si="7"/>
        <v>rokprognozy=2034 i lp=31</v>
      </c>
      <c r="AA34" s="16" t="str">
        <f t="shared" si="7"/>
        <v>rokprognozy=2035 i lp=31</v>
      </c>
      <c r="AB34" s="16" t="str">
        <f t="shared" si="7"/>
        <v>rokprognozy=2036 i lp=31</v>
      </c>
      <c r="AC34" s="16" t="str">
        <f t="shared" ref="AC34:AP52" si="8">+"rokprognozy="&amp;AC$3&amp;" i lp="&amp;$A34</f>
        <v>rokprognozy=2037 i lp=31</v>
      </c>
      <c r="AD34" s="16" t="str">
        <f t="shared" si="8"/>
        <v>rokprognozy=2038 i lp=31</v>
      </c>
      <c r="AE34" s="16" t="str">
        <f t="shared" si="8"/>
        <v>rokprognozy=2039 i lp=31</v>
      </c>
      <c r="AF34" s="16" t="str">
        <f t="shared" si="8"/>
        <v>rokprognozy=2040 i lp=31</v>
      </c>
      <c r="AG34" s="16" t="str">
        <f t="shared" si="8"/>
        <v>rokprognozy=2041 i lp=31</v>
      </c>
      <c r="AH34" s="16" t="str">
        <f t="shared" si="8"/>
        <v>rokprognozy=2042 i lp=31</v>
      </c>
      <c r="AI34" s="16" t="str">
        <f t="shared" si="8"/>
        <v>rokprognozy=2043 i lp=31</v>
      </c>
      <c r="AJ34" s="16" t="str">
        <f t="shared" si="8"/>
        <v>rokprognozy=2044 i lp=31</v>
      </c>
      <c r="AK34" s="16" t="str">
        <f t="shared" si="8"/>
        <v>rokprognozy=2045 i lp=31</v>
      </c>
      <c r="AL34" s="16" t="str">
        <f t="shared" si="8"/>
        <v>rokprognozy=2046 i lp=31</v>
      </c>
      <c r="AM34" s="16" t="str">
        <f t="shared" si="8"/>
        <v>rokprognozy=2047 i lp=31</v>
      </c>
      <c r="AN34" s="16" t="str">
        <f t="shared" si="8"/>
        <v>rokprognozy=2048 i lp=31</v>
      </c>
      <c r="AO34" s="16" t="str">
        <f t="shared" si="8"/>
        <v>rokprognozy=2049 i lp=31</v>
      </c>
      <c r="AP34" s="16" t="str">
        <f t="shared" si="8"/>
        <v>rokprognozy=2050 i lp=31</v>
      </c>
    </row>
    <row r="35" spans="1:42">
      <c r="A35" s="6">
        <v>32</v>
      </c>
      <c r="B35" s="17">
        <v>12</v>
      </c>
      <c r="C35" s="19" t="s">
        <v>71</v>
      </c>
      <c r="D35" s="15" t="str">
        <f t="shared" si="6"/>
        <v>rokprognozy=2012 i lp=32</v>
      </c>
      <c r="E35" s="15" t="str">
        <f t="shared" si="6"/>
        <v>rokprognozy=2013 i lp=32</v>
      </c>
      <c r="F35" s="16" t="str">
        <f t="shared" si="6"/>
        <v>rokprognozy=2014 i lp=32</v>
      </c>
      <c r="G35" s="16" t="str">
        <f t="shared" si="6"/>
        <v>rokprognozy=2015 i lp=32</v>
      </c>
      <c r="H35" s="16" t="str">
        <f t="shared" si="6"/>
        <v>rokprognozy=2016 i lp=32</v>
      </c>
      <c r="I35" s="16" t="str">
        <f t="shared" si="6"/>
        <v>rokprognozy=2017 i lp=32</v>
      </c>
      <c r="J35" s="16" t="str">
        <f t="shared" si="6"/>
        <v>rokprognozy=2018 i lp=32</v>
      </c>
      <c r="K35" s="16" t="str">
        <f t="shared" si="6"/>
        <v>rokprognozy=2019 i lp=32</v>
      </c>
      <c r="L35" s="16" t="str">
        <f t="shared" si="6"/>
        <v>rokprognozy=2020 i lp=32</v>
      </c>
      <c r="M35" s="16" t="str">
        <f t="shared" si="7"/>
        <v>rokprognozy=2021 i lp=32</v>
      </c>
      <c r="N35" s="16" t="str">
        <f t="shared" si="7"/>
        <v>rokprognozy=2022 i lp=32</v>
      </c>
      <c r="O35" s="16" t="str">
        <f t="shared" si="7"/>
        <v>rokprognozy=2023 i lp=32</v>
      </c>
      <c r="P35" s="16" t="str">
        <f t="shared" si="7"/>
        <v>rokprognozy=2024 i lp=32</v>
      </c>
      <c r="Q35" s="16" t="str">
        <f t="shared" si="7"/>
        <v>rokprognozy=2025 i lp=32</v>
      </c>
      <c r="R35" s="16" t="str">
        <f t="shared" si="7"/>
        <v>rokprognozy=2026 i lp=32</v>
      </c>
      <c r="S35" s="16" t="str">
        <f t="shared" si="7"/>
        <v>rokprognozy=2027 i lp=32</v>
      </c>
      <c r="T35" s="16" t="str">
        <f t="shared" si="7"/>
        <v>rokprognozy=2028 i lp=32</v>
      </c>
      <c r="U35" s="16" t="str">
        <f t="shared" si="7"/>
        <v>rokprognozy=2029 i lp=32</v>
      </c>
      <c r="V35" s="16" t="str">
        <f t="shared" si="7"/>
        <v>rokprognozy=2030 i lp=32</v>
      </c>
      <c r="W35" s="16" t="str">
        <f t="shared" si="7"/>
        <v>rokprognozy=2031 i lp=32</v>
      </c>
      <c r="X35" s="16" t="str">
        <f t="shared" si="7"/>
        <v>rokprognozy=2032 i lp=32</v>
      </c>
      <c r="Y35" s="16" t="str">
        <f t="shared" si="7"/>
        <v>rokprognozy=2033 i lp=32</v>
      </c>
      <c r="Z35" s="16" t="str">
        <f t="shared" si="7"/>
        <v>rokprognozy=2034 i lp=32</v>
      </c>
      <c r="AA35" s="16" t="str">
        <f t="shared" si="7"/>
        <v>rokprognozy=2035 i lp=32</v>
      </c>
      <c r="AB35" s="16" t="str">
        <f t="shared" si="7"/>
        <v>rokprognozy=2036 i lp=32</v>
      </c>
      <c r="AC35" s="16" t="str">
        <f t="shared" si="8"/>
        <v>rokprognozy=2037 i lp=32</v>
      </c>
      <c r="AD35" s="16" t="str">
        <f t="shared" si="8"/>
        <v>rokprognozy=2038 i lp=32</v>
      </c>
      <c r="AE35" s="16" t="str">
        <f t="shared" si="8"/>
        <v>rokprognozy=2039 i lp=32</v>
      </c>
      <c r="AF35" s="16" t="str">
        <f t="shared" si="8"/>
        <v>rokprognozy=2040 i lp=32</v>
      </c>
      <c r="AG35" s="16" t="str">
        <f t="shared" si="8"/>
        <v>rokprognozy=2041 i lp=32</v>
      </c>
      <c r="AH35" s="16" t="str">
        <f t="shared" si="8"/>
        <v>rokprognozy=2042 i lp=32</v>
      </c>
      <c r="AI35" s="16" t="str">
        <f t="shared" si="8"/>
        <v>rokprognozy=2043 i lp=32</v>
      </c>
      <c r="AJ35" s="16" t="str">
        <f t="shared" si="8"/>
        <v>rokprognozy=2044 i lp=32</v>
      </c>
      <c r="AK35" s="16" t="str">
        <f t="shared" si="8"/>
        <v>rokprognozy=2045 i lp=32</v>
      </c>
      <c r="AL35" s="16" t="str">
        <f t="shared" si="8"/>
        <v>rokprognozy=2046 i lp=32</v>
      </c>
      <c r="AM35" s="16" t="str">
        <f t="shared" si="8"/>
        <v>rokprognozy=2047 i lp=32</v>
      </c>
      <c r="AN35" s="16" t="str">
        <f t="shared" si="8"/>
        <v>rokprognozy=2048 i lp=32</v>
      </c>
      <c r="AO35" s="16" t="str">
        <f t="shared" si="8"/>
        <v>rokprognozy=2049 i lp=32</v>
      </c>
      <c r="AP35" s="16" t="str">
        <f t="shared" si="8"/>
        <v>rokprognozy=2050 i lp=32</v>
      </c>
    </row>
    <row r="36" spans="1:42">
      <c r="A36" s="6">
        <v>33</v>
      </c>
      <c r="B36" s="17">
        <v>13</v>
      </c>
      <c r="C36" s="19" t="s">
        <v>17</v>
      </c>
      <c r="D36" s="15" t="str">
        <f t="shared" si="6"/>
        <v>rokprognozy=2012 i lp=33</v>
      </c>
      <c r="E36" s="15" t="str">
        <f t="shared" si="6"/>
        <v>rokprognozy=2013 i lp=33</v>
      </c>
      <c r="F36" s="16" t="str">
        <f t="shared" si="6"/>
        <v>rokprognozy=2014 i lp=33</v>
      </c>
      <c r="G36" s="16" t="str">
        <f t="shared" si="6"/>
        <v>rokprognozy=2015 i lp=33</v>
      </c>
      <c r="H36" s="16" t="str">
        <f t="shared" si="6"/>
        <v>rokprognozy=2016 i lp=33</v>
      </c>
      <c r="I36" s="16" t="str">
        <f t="shared" si="6"/>
        <v>rokprognozy=2017 i lp=33</v>
      </c>
      <c r="J36" s="16" t="str">
        <f t="shared" si="6"/>
        <v>rokprognozy=2018 i lp=33</v>
      </c>
      <c r="K36" s="16" t="str">
        <f t="shared" si="6"/>
        <v>rokprognozy=2019 i lp=33</v>
      </c>
      <c r="L36" s="16" t="str">
        <f t="shared" si="6"/>
        <v>rokprognozy=2020 i lp=33</v>
      </c>
      <c r="M36" s="16" t="str">
        <f t="shared" si="7"/>
        <v>rokprognozy=2021 i lp=33</v>
      </c>
      <c r="N36" s="16" t="str">
        <f t="shared" si="7"/>
        <v>rokprognozy=2022 i lp=33</v>
      </c>
      <c r="O36" s="16" t="str">
        <f t="shared" si="7"/>
        <v>rokprognozy=2023 i lp=33</v>
      </c>
      <c r="P36" s="16" t="str">
        <f t="shared" si="7"/>
        <v>rokprognozy=2024 i lp=33</v>
      </c>
      <c r="Q36" s="16" t="str">
        <f t="shared" si="7"/>
        <v>rokprognozy=2025 i lp=33</v>
      </c>
      <c r="R36" s="16" t="str">
        <f t="shared" si="7"/>
        <v>rokprognozy=2026 i lp=33</v>
      </c>
      <c r="S36" s="16" t="str">
        <f t="shared" si="7"/>
        <v>rokprognozy=2027 i lp=33</v>
      </c>
      <c r="T36" s="16" t="str">
        <f t="shared" si="7"/>
        <v>rokprognozy=2028 i lp=33</v>
      </c>
      <c r="U36" s="16" t="str">
        <f t="shared" si="7"/>
        <v>rokprognozy=2029 i lp=33</v>
      </c>
      <c r="V36" s="16" t="str">
        <f t="shared" si="7"/>
        <v>rokprognozy=2030 i lp=33</v>
      </c>
      <c r="W36" s="16" t="str">
        <f t="shared" si="7"/>
        <v>rokprognozy=2031 i lp=33</v>
      </c>
      <c r="X36" s="16" t="str">
        <f t="shared" si="7"/>
        <v>rokprognozy=2032 i lp=33</v>
      </c>
      <c r="Y36" s="16" t="str">
        <f t="shared" si="7"/>
        <v>rokprognozy=2033 i lp=33</v>
      </c>
      <c r="Z36" s="16" t="str">
        <f t="shared" si="7"/>
        <v>rokprognozy=2034 i lp=33</v>
      </c>
      <c r="AA36" s="16" t="str">
        <f t="shared" si="7"/>
        <v>rokprognozy=2035 i lp=33</v>
      </c>
      <c r="AB36" s="16" t="str">
        <f t="shared" si="7"/>
        <v>rokprognozy=2036 i lp=33</v>
      </c>
      <c r="AC36" s="16" t="str">
        <f t="shared" si="8"/>
        <v>rokprognozy=2037 i lp=33</v>
      </c>
      <c r="AD36" s="16" t="str">
        <f t="shared" si="8"/>
        <v>rokprognozy=2038 i lp=33</v>
      </c>
      <c r="AE36" s="16" t="str">
        <f t="shared" si="8"/>
        <v>rokprognozy=2039 i lp=33</v>
      </c>
      <c r="AF36" s="16" t="str">
        <f t="shared" si="8"/>
        <v>rokprognozy=2040 i lp=33</v>
      </c>
      <c r="AG36" s="16" t="str">
        <f t="shared" si="8"/>
        <v>rokprognozy=2041 i lp=33</v>
      </c>
      <c r="AH36" s="16" t="str">
        <f t="shared" si="8"/>
        <v>rokprognozy=2042 i lp=33</v>
      </c>
      <c r="AI36" s="16" t="str">
        <f t="shared" si="8"/>
        <v>rokprognozy=2043 i lp=33</v>
      </c>
      <c r="AJ36" s="16" t="str">
        <f t="shared" si="8"/>
        <v>rokprognozy=2044 i lp=33</v>
      </c>
      <c r="AK36" s="16" t="str">
        <f t="shared" si="8"/>
        <v>rokprognozy=2045 i lp=33</v>
      </c>
      <c r="AL36" s="16" t="str">
        <f t="shared" si="8"/>
        <v>rokprognozy=2046 i lp=33</v>
      </c>
      <c r="AM36" s="16" t="str">
        <f t="shared" si="8"/>
        <v>rokprognozy=2047 i lp=33</v>
      </c>
      <c r="AN36" s="16" t="str">
        <f t="shared" si="8"/>
        <v>rokprognozy=2048 i lp=33</v>
      </c>
      <c r="AO36" s="16" t="str">
        <f t="shared" si="8"/>
        <v>rokprognozy=2049 i lp=33</v>
      </c>
      <c r="AP36" s="16" t="str">
        <f t="shared" si="8"/>
        <v>rokprognozy=2050 i lp=33</v>
      </c>
    </row>
    <row r="37" spans="1:42" ht="24">
      <c r="A37" s="6">
        <v>34</v>
      </c>
      <c r="B37" s="17" t="s">
        <v>72</v>
      </c>
      <c r="C37" s="19" t="s">
        <v>73</v>
      </c>
      <c r="D37" s="15" t="str">
        <f t="shared" si="6"/>
        <v>rokprognozy=2012 i lp=34</v>
      </c>
      <c r="E37" s="15" t="str">
        <f t="shared" si="6"/>
        <v>rokprognozy=2013 i lp=34</v>
      </c>
      <c r="F37" s="16" t="str">
        <f t="shared" si="6"/>
        <v>rokprognozy=2014 i lp=34</v>
      </c>
      <c r="G37" s="16" t="str">
        <f t="shared" si="6"/>
        <v>rokprognozy=2015 i lp=34</v>
      </c>
      <c r="H37" s="16" t="str">
        <f t="shared" si="6"/>
        <v>rokprognozy=2016 i lp=34</v>
      </c>
      <c r="I37" s="16" t="str">
        <f t="shared" si="6"/>
        <v>rokprognozy=2017 i lp=34</v>
      </c>
      <c r="J37" s="16" t="str">
        <f t="shared" si="6"/>
        <v>rokprognozy=2018 i lp=34</v>
      </c>
      <c r="K37" s="16" t="str">
        <f t="shared" si="6"/>
        <v>rokprognozy=2019 i lp=34</v>
      </c>
      <c r="L37" s="16" t="str">
        <f t="shared" si="6"/>
        <v>rokprognozy=2020 i lp=34</v>
      </c>
      <c r="M37" s="16" t="str">
        <f t="shared" si="7"/>
        <v>rokprognozy=2021 i lp=34</v>
      </c>
      <c r="N37" s="16" t="str">
        <f t="shared" si="7"/>
        <v>rokprognozy=2022 i lp=34</v>
      </c>
      <c r="O37" s="16" t="str">
        <f t="shared" si="7"/>
        <v>rokprognozy=2023 i lp=34</v>
      </c>
      <c r="P37" s="16" t="str">
        <f t="shared" si="7"/>
        <v>rokprognozy=2024 i lp=34</v>
      </c>
      <c r="Q37" s="16" t="str">
        <f t="shared" si="7"/>
        <v>rokprognozy=2025 i lp=34</v>
      </c>
      <c r="R37" s="16" t="str">
        <f t="shared" si="7"/>
        <v>rokprognozy=2026 i lp=34</v>
      </c>
      <c r="S37" s="16" t="str">
        <f t="shared" si="7"/>
        <v>rokprognozy=2027 i lp=34</v>
      </c>
      <c r="T37" s="16" t="str">
        <f t="shared" si="7"/>
        <v>rokprognozy=2028 i lp=34</v>
      </c>
      <c r="U37" s="16" t="str">
        <f t="shared" si="7"/>
        <v>rokprognozy=2029 i lp=34</v>
      </c>
      <c r="V37" s="16" t="str">
        <f t="shared" si="7"/>
        <v>rokprognozy=2030 i lp=34</v>
      </c>
      <c r="W37" s="16" t="str">
        <f t="shared" si="7"/>
        <v>rokprognozy=2031 i lp=34</v>
      </c>
      <c r="X37" s="16" t="str">
        <f t="shared" si="7"/>
        <v>rokprognozy=2032 i lp=34</v>
      </c>
      <c r="Y37" s="16" t="str">
        <f t="shared" si="7"/>
        <v>rokprognozy=2033 i lp=34</v>
      </c>
      <c r="Z37" s="16" t="str">
        <f t="shared" si="7"/>
        <v>rokprognozy=2034 i lp=34</v>
      </c>
      <c r="AA37" s="16" t="str">
        <f t="shared" si="7"/>
        <v>rokprognozy=2035 i lp=34</v>
      </c>
      <c r="AB37" s="16" t="str">
        <f t="shared" si="7"/>
        <v>rokprognozy=2036 i lp=34</v>
      </c>
      <c r="AC37" s="16" t="str">
        <f t="shared" si="8"/>
        <v>rokprognozy=2037 i lp=34</v>
      </c>
      <c r="AD37" s="16" t="str">
        <f t="shared" si="8"/>
        <v>rokprognozy=2038 i lp=34</v>
      </c>
      <c r="AE37" s="16" t="str">
        <f t="shared" si="8"/>
        <v>rokprognozy=2039 i lp=34</v>
      </c>
      <c r="AF37" s="16" t="str">
        <f t="shared" si="8"/>
        <v>rokprognozy=2040 i lp=34</v>
      </c>
      <c r="AG37" s="16" t="str">
        <f t="shared" si="8"/>
        <v>rokprognozy=2041 i lp=34</v>
      </c>
      <c r="AH37" s="16" t="str">
        <f t="shared" si="8"/>
        <v>rokprognozy=2042 i lp=34</v>
      </c>
      <c r="AI37" s="16" t="str">
        <f t="shared" si="8"/>
        <v>rokprognozy=2043 i lp=34</v>
      </c>
      <c r="AJ37" s="16" t="str">
        <f t="shared" si="8"/>
        <v>rokprognozy=2044 i lp=34</v>
      </c>
      <c r="AK37" s="16" t="str">
        <f t="shared" si="8"/>
        <v>rokprognozy=2045 i lp=34</v>
      </c>
      <c r="AL37" s="16" t="str">
        <f t="shared" si="8"/>
        <v>rokprognozy=2046 i lp=34</v>
      </c>
      <c r="AM37" s="16" t="str">
        <f t="shared" si="8"/>
        <v>rokprognozy=2047 i lp=34</v>
      </c>
      <c r="AN37" s="16" t="str">
        <f t="shared" si="8"/>
        <v>rokprognozy=2048 i lp=34</v>
      </c>
      <c r="AO37" s="16" t="str">
        <f t="shared" si="8"/>
        <v>rokprognozy=2049 i lp=34</v>
      </c>
      <c r="AP37" s="16" t="str">
        <f t="shared" si="8"/>
        <v>rokprognozy=2050 i lp=34</v>
      </c>
    </row>
    <row r="38" spans="1:42">
      <c r="A38" s="6">
        <v>35</v>
      </c>
      <c r="B38" s="17">
        <v>14</v>
      </c>
      <c r="C38" s="19" t="s">
        <v>18</v>
      </c>
      <c r="D38" s="15" t="str">
        <f t="shared" si="6"/>
        <v>rokprognozy=2012 i lp=35</v>
      </c>
      <c r="E38" s="15" t="str">
        <f t="shared" si="6"/>
        <v>rokprognozy=2013 i lp=35</v>
      </c>
      <c r="F38" s="16" t="str">
        <f t="shared" si="6"/>
        <v>rokprognozy=2014 i lp=35</v>
      </c>
      <c r="G38" s="16" t="str">
        <f t="shared" si="6"/>
        <v>rokprognozy=2015 i lp=35</v>
      </c>
      <c r="H38" s="16" t="str">
        <f t="shared" si="6"/>
        <v>rokprognozy=2016 i lp=35</v>
      </c>
      <c r="I38" s="16" t="str">
        <f t="shared" si="6"/>
        <v>rokprognozy=2017 i lp=35</v>
      </c>
      <c r="J38" s="16" t="str">
        <f t="shared" si="6"/>
        <v>rokprognozy=2018 i lp=35</v>
      </c>
      <c r="K38" s="16" t="str">
        <f t="shared" si="6"/>
        <v>rokprognozy=2019 i lp=35</v>
      </c>
      <c r="L38" s="16" t="str">
        <f t="shared" si="6"/>
        <v>rokprognozy=2020 i lp=35</v>
      </c>
      <c r="M38" s="16" t="str">
        <f t="shared" si="7"/>
        <v>rokprognozy=2021 i lp=35</v>
      </c>
      <c r="N38" s="16" t="str">
        <f t="shared" si="7"/>
        <v>rokprognozy=2022 i lp=35</v>
      </c>
      <c r="O38" s="16" t="str">
        <f t="shared" si="7"/>
        <v>rokprognozy=2023 i lp=35</v>
      </c>
      <c r="P38" s="16" t="str">
        <f t="shared" si="7"/>
        <v>rokprognozy=2024 i lp=35</v>
      </c>
      <c r="Q38" s="16" t="str">
        <f t="shared" si="7"/>
        <v>rokprognozy=2025 i lp=35</v>
      </c>
      <c r="R38" s="16" t="str">
        <f t="shared" si="7"/>
        <v>rokprognozy=2026 i lp=35</v>
      </c>
      <c r="S38" s="16" t="str">
        <f t="shared" si="7"/>
        <v>rokprognozy=2027 i lp=35</v>
      </c>
      <c r="T38" s="16" t="str">
        <f t="shared" si="7"/>
        <v>rokprognozy=2028 i lp=35</v>
      </c>
      <c r="U38" s="16" t="str">
        <f t="shared" si="7"/>
        <v>rokprognozy=2029 i lp=35</v>
      </c>
      <c r="V38" s="16" t="str">
        <f t="shared" si="7"/>
        <v>rokprognozy=2030 i lp=35</v>
      </c>
      <c r="W38" s="16" t="str">
        <f t="shared" si="7"/>
        <v>rokprognozy=2031 i lp=35</v>
      </c>
      <c r="X38" s="16" t="str">
        <f t="shared" si="7"/>
        <v>rokprognozy=2032 i lp=35</v>
      </c>
      <c r="Y38" s="16" t="str">
        <f t="shared" si="7"/>
        <v>rokprognozy=2033 i lp=35</v>
      </c>
      <c r="Z38" s="16" t="str">
        <f t="shared" si="7"/>
        <v>rokprognozy=2034 i lp=35</v>
      </c>
      <c r="AA38" s="16" t="str">
        <f t="shared" si="7"/>
        <v>rokprognozy=2035 i lp=35</v>
      </c>
      <c r="AB38" s="16" t="str">
        <f t="shared" si="7"/>
        <v>rokprognozy=2036 i lp=35</v>
      </c>
      <c r="AC38" s="16" t="str">
        <f t="shared" si="8"/>
        <v>rokprognozy=2037 i lp=35</v>
      </c>
      <c r="AD38" s="16" t="str">
        <f t="shared" si="8"/>
        <v>rokprognozy=2038 i lp=35</v>
      </c>
      <c r="AE38" s="16" t="str">
        <f t="shared" si="8"/>
        <v>rokprognozy=2039 i lp=35</v>
      </c>
      <c r="AF38" s="16" t="str">
        <f t="shared" si="8"/>
        <v>rokprognozy=2040 i lp=35</v>
      </c>
      <c r="AG38" s="16" t="str">
        <f t="shared" si="8"/>
        <v>rokprognozy=2041 i lp=35</v>
      </c>
      <c r="AH38" s="16" t="str">
        <f t="shared" si="8"/>
        <v>rokprognozy=2042 i lp=35</v>
      </c>
      <c r="AI38" s="16" t="str">
        <f t="shared" si="8"/>
        <v>rokprognozy=2043 i lp=35</v>
      </c>
      <c r="AJ38" s="16" t="str">
        <f t="shared" si="8"/>
        <v>rokprognozy=2044 i lp=35</v>
      </c>
      <c r="AK38" s="16" t="str">
        <f t="shared" si="8"/>
        <v>rokprognozy=2045 i lp=35</v>
      </c>
      <c r="AL38" s="16" t="str">
        <f t="shared" si="8"/>
        <v>rokprognozy=2046 i lp=35</v>
      </c>
      <c r="AM38" s="16" t="str">
        <f t="shared" si="8"/>
        <v>rokprognozy=2047 i lp=35</v>
      </c>
      <c r="AN38" s="16" t="str">
        <f t="shared" si="8"/>
        <v>rokprognozy=2048 i lp=35</v>
      </c>
      <c r="AO38" s="16" t="str">
        <f t="shared" si="8"/>
        <v>rokprognozy=2049 i lp=35</v>
      </c>
      <c r="AP38" s="16" t="str">
        <f t="shared" si="8"/>
        <v>rokprognozy=2050 i lp=35</v>
      </c>
    </row>
    <row r="39" spans="1:42" ht="36">
      <c r="A39" s="6">
        <v>36</v>
      </c>
      <c r="B39" s="17">
        <v>15</v>
      </c>
      <c r="C39" s="19" t="s">
        <v>74</v>
      </c>
      <c r="D39" s="15" t="str">
        <f t="shared" si="6"/>
        <v>rokprognozy=2012 i lp=36</v>
      </c>
      <c r="E39" s="15" t="str">
        <f t="shared" si="6"/>
        <v>rokprognozy=2013 i lp=36</v>
      </c>
      <c r="F39" s="16" t="str">
        <f t="shared" si="6"/>
        <v>rokprognozy=2014 i lp=36</v>
      </c>
      <c r="G39" s="16" t="str">
        <f t="shared" si="6"/>
        <v>rokprognozy=2015 i lp=36</v>
      </c>
      <c r="H39" s="16" t="str">
        <f t="shared" si="6"/>
        <v>rokprognozy=2016 i lp=36</v>
      </c>
      <c r="I39" s="16" t="str">
        <f t="shared" si="6"/>
        <v>rokprognozy=2017 i lp=36</v>
      </c>
      <c r="J39" s="16" t="str">
        <f t="shared" si="6"/>
        <v>rokprognozy=2018 i lp=36</v>
      </c>
      <c r="K39" s="16" t="str">
        <f t="shared" si="6"/>
        <v>rokprognozy=2019 i lp=36</v>
      </c>
      <c r="L39" s="16" t="str">
        <f t="shared" si="6"/>
        <v>rokprognozy=2020 i lp=36</v>
      </c>
      <c r="M39" s="16" t="str">
        <f t="shared" si="7"/>
        <v>rokprognozy=2021 i lp=36</v>
      </c>
      <c r="N39" s="16" t="str">
        <f t="shared" si="7"/>
        <v>rokprognozy=2022 i lp=36</v>
      </c>
      <c r="O39" s="16" t="str">
        <f t="shared" si="7"/>
        <v>rokprognozy=2023 i lp=36</v>
      </c>
      <c r="P39" s="16" t="str">
        <f t="shared" si="7"/>
        <v>rokprognozy=2024 i lp=36</v>
      </c>
      <c r="Q39" s="16" t="str">
        <f t="shared" si="7"/>
        <v>rokprognozy=2025 i lp=36</v>
      </c>
      <c r="R39" s="16" t="str">
        <f t="shared" si="7"/>
        <v>rokprognozy=2026 i lp=36</v>
      </c>
      <c r="S39" s="16" t="str">
        <f t="shared" si="7"/>
        <v>rokprognozy=2027 i lp=36</v>
      </c>
      <c r="T39" s="16" t="str">
        <f t="shared" si="7"/>
        <v>rokprognozy=2028 i lp=36</v>
      </c>
      <c r="U39" s="16" t="str">
        <f t="shared" si="7"/>
        <v>rokprognozy=2029 i lp=36</v>
      </c>
      <c r="V39" s="16" t="str">
        <f t="shared" si="7"/>
        <v>rokprognozy=2030 i lp=36</v>
      </c>
      <c r="W39" s="16" t="str">
        <f t="shared" si="7"/>
        <v>rokprognozy=2031 i lp=36</v>
      </c>
      <c r="X39" s="16" t="str">
        <f t="shared" si="7"/>
        <v>rokprognozy=2032 i lp=36</v>
      </c>
      <c r="Y39" s="16" t="str">
        <f t="shared" si="7"/>
        <v>rokprognozy=2033 i lp=36</v>
      </c>
      <c r="Z39" s="16" t="str">
        <f t="shared" si="7"/>
        <v>rokprognozy=2034 i lp=36</v>
      </c>
      <c r="AA39" s="16" t="str">
        <f t="shared" si="7"/>
        <v>rokprognozy=2035 i lp=36</v>
      </c>
      <c r="AB39" s="16" t="str">
        <f t="shared" si="7"/>
        <v>rokprognozy=2036 i lp=36</v>
      </c>
      <c r="AC39" s="16" t="str">
        <f t="shared" si="8"/>
        <v>rokprognozy=2037 i lp=36</v>
      </c>
      <c r="AD39" s="16" t="str">
        <f t="shared" si="8"/>
        <v>rokprognozy=2038 i lp=36</v>
      </c>
      <c r="AE39" s="16" t="str">
        <f t="shared" si="8"/>
        <v>rokprognozy=2039 i lp=36</v>
      </c>
      <c r="AF39" s="16" t="str">
        <f t="shared" si="8"/>
        <v>rokprognozy=2040 i lp=36</v>
      </c>
      <c r="AG39" s="16" t="str">
        <f t="shared" si="8"/>
        <v>rokprognozy=2041 i lp=36</v>
      </c>
      <c r="AH39" s="16" t="str">
        <f t="shared" si="8"/>
        <v>rokprognozy=2042 i lp=36</v>
      </c>
      <c r="AI39" s="16" t="str">
        <f t="shared" si="8"/>
        <v>rokprognozy=2043 i lp=36</v>
      </c>
      <c r="AJ39" s="16" t="str">
        <f t="shared" si="8"/>
        <v>rokprognozy=2044 i lp=36</v>
      </c>
      <c r="AK39" s="16" t="str">
        <f t="shared" si="8"/>
        <v>rokprognozy=2045 i lp=36</v>
      </c>
      <c r="AL39" s="16" t="str">
        <f t="shared" si="8"/>
        <v>rokprognozy=2046 i lp=36</v>
      </c>
      <c r="AM39" s="16" t="str">
        <f t="shared" si="8"/>
        <v>rokprognozy=2047 i lp=36</v>
      </c>
      <c r="AN39" s="16" t="str">
        <f t="shared" si="8"/>
        <v>rokprognozy=2048 i lp=36</v>
      </c>
      <c r="AO39" s="16" t="str">
        <f t="shared" si="8"/>
        <v>rokprognozy=2049 i lp=36</v>
      </c>
      <c r="AP39" s="16" t="str">
        <f t="shared" si="8"/>
        <v>rokprognozy=2050 i lp=36</v>
      </c>
    </row>
    <row r="40" spans="1:42" ht="24">
      <c r="A40" s="6">
        <v>37</v>
      </c>
      <c r="B40" s="17">
        <v>16</v>
      </c>
      <c r="C40" s="19" t="s">
        <v>75</v>
      </c>
      <c r="D40" s="15" t="str">
        <f t="shared" si="6"/>
        <v>rokprognozy=2012 i lp=37</v>
      </c>
      <c r="E40" s="15" t="str">
        <f t="shared" si="6"/>
        <v>rokprognozy=2013 i lp=37</v>
      </c>
      <c r="F40" s="16" t="str">
        <f t="shared" si="6"/>
        <v>rokprognozy=2014 i lp=37</v>
      </c>
      <c r="G40" s="16" t="str">
        <f t="shared" si="6"/>
        <v>rokprognozy=2015 i lp=37</v>
      </c>
      <c r="H40" s="16" t="str">
        <f t="shared" si="6"/>
        <v>rokprognozy=2016 i lp=37</v>
      </c>
      <c r="I40" s="16" t="str">
        <f t="shared" si="6"/>
        <v>rokprognozy=2017 i lp=37</v>
      </c>
      <c r="J40" s="16" t="str">
        <f t="shared" si="6"/>
        <v>rokprognozy=2018 i lp=37</v>
      </c>
      <c r="K40" s="16" t="str">
        <f t="shared" si="6"/>
        <v>rokprognozy=2019 i lp=37</v>
      </c>
      <c r="L40" s="16" t="str">
        <f t="shared" si="6"/>
        <v>rokprognozy=2020 i lp=37</v>
      </c>
      <c r="M40" s="16" t="str">
        <f t="shared" si="7"/>
        <v>rokprognozy=2021 i lp=37</v>
      </c>
      <c r="N40" s="16" t="str">
        <f t="shared" si="7"/>
        <v>rokprognozy=2022 i lp=37</v>
      </c>
      <c r="O40" s="16" t="str">
        <f t="shared" si="7"/>
        <v>rokprognozy=2023 i lp=37</v>
      </c>
      <c r="P40" s="16" t="str">
        <f t="shared" si="7"/>
        <v>rokprognozy=2024 i lp=37</v>
      </c>
      <c r="Q40" s="16" t="str">
        <f t="shared" si="7"/>
        <v>rokprognozy=2025 i lp=37</v>
      </c>
      <c r="R40" s="16" t="str">
        <f t="shared" si="7"/>
        <v>rokprognozy=2026 i lp=37</v>
      </c>
      <c r="S40" s="16" t="str">
        <f t="shared" si="7"/>
        <v>rokprognozy=2027 i lp=37</v>
      </c>
      <c r="T40" s="16" t="str">
        <f t="shared" si="7"/>
        <v>rokprognozy=2028 i lp=37</v>
      </c>
      <c r="U40" s="16" t="str">
        <f t="shared" si="7"/>
        <v>rokprognozy=2029 i lp=37</v>
      </c>
      <c r="V40" s="16" t="str">
        <f t="shared" si="7"/>
        <v>rokprognozy=2030 i lp=37</v>
      </c>
      <c r="W40" s="16" t="str">
        <f t="shared" si="7"/>
        <v>rokprognozy=2031 i lp=37</v>
      </c>
      <c r="X40" s="16" t="str">
        <f t="shared" si="7"/>
        <v>rokprognozy=2032 i lp=37</v>
      </c>
      <c r="Y40" s="16" t="str">
        <f t="shared" si="7"/>
        <v>rokprognozy=2033 i lp=37</v>
      </c>
      <c r="Z40" s="16" t="str">
        <f t="shared" si="7"/>
        <v>rokprognozy=2034 i lp=37</v>
      </c>
      <c r="AA40" s="16" t="str">
        <f t="shared" si="7"/>
        <v>rokprognozy=2035 i lp=37</v>
      </c>
      <c r="AB40" s="16" t="str">
        <f t="shared" si="7"/>
        <v>rokprognozy=2036 i lp=37</v>
      </c>
      <c r="AC40" s="16" t="str">
        <f t="shared" si="8"/>
        <v>rokprognozy=2037 i lp=37</v>
      </c>
      <c r="AD40" s="16" t="str">
        <f t="shared" si="8"/>
        <v>rokprognozy=2038 i lp=37</v>
      </c>
      <c r="AE40" s="16" t="str">
        <f t="shared" si="8"/>
        <v>rokprognozy=2039 i lp=37</v>
      </c>
      <c r="AF40" s="16" t="str">
        <f t="shared" si="8"/>
        <v>rokprognozy=2040 i lp=37</v>
      </c>
      <c r="AG40" s="16" t="str">
        <f t="shared" si="8"/>
        <v>rokprognozy=2041 i lp=37</v>
      </c>
      <c r="AH40" s="16" t="str">
        <f t="shared" si="8"/>
        <v>rokprognozy=2042 i lp=37</v>
      </c>
      <c r="AI40" s="16" t="str">
        <f t="shared" si="8"/>
        <v>rokprognozy=2043 i lp=37</v>
      </c>
      <c r="AJ40" s="16" t="str">
        <f t="shared" si="8"/>
        <v>rokprognozy=2044 i lp=37</v>
      </c>
      <c r="AK40" s="16" t="str">
        <f t="shared" si="8"/>
        <v>rokprognozy=2045 i lp=37</v>
      </c>
      <c r="AL40" s="16" t="str">
        <f t="shared" si="8"/>
        <v>rokprognozy=2046 i lp=37</v>
      </c>
      <c r="AM40" s="16" t="str">
        <f t="shared" si="8"/>
        <v>rokprognozy=2047 i lp=37</v>
      </c>
      <c r="AN40" s="16" t="str">
        <f t="shared" si="8"/>
        <v>rokprognozy=2048 i lp=37</v>
      </c>
      <c r="AO40" s="16" t="str">
        <f t="shared" si="8"/>
        <v>rokprognozy=2049 i lp=37</v>
      </c>
      <c r="AP40" s="16" t="str">
        <f t="shared" si="8"/>
        <v>rokprognozy=2050 i lp=37</v>
      </c>
    </row>
    <row r="41" spans="1:42">
      <c r="A41" s="6">
        <v>38</v>
      </c>
      <c r="B41" s="17">
        <v>17</v>
      </c>
      <c r="C41" s="19" t="s">
        <v>27</v>
      </c>
      <c r="D41" s="15" t="str">
        <f t="shared" si="6"/>
        <v>rokprognozy=2012 i lp=38</v>
      </c>
      <c r="E41" s="15" t="str">
        <f t="shared" si="6"/>
        <v>rokprognozy=2013 i lp=38</v>
      </c>
      <c r="F41" s="16" t="str">
        <f t="shared" si="6"/>
        <v>rokprognozy=2014 i lp=38</v>
      </c>
      <c r="G41" s="16" t="str">
        <f t="shared" si="6"/>
        <v>rokprognozy=2015 i lp=38</v>
      </c>
      <c r="H41" s="16" t="str">
        <f t="shared" si="6"/>
        <v>rokprognozy=2016 i lp=38</v>
      </c>
      <c r="I41" s="16" t="str">
        <f t="shared" si="6"/>
        <v>rokprognozy=2017 i lp=38</v>
      </c>
      <c r="J41" s="16" t="str">
        <f t="shared" si="6"/>
        <v>rokprognozy=2018 i lp=38</v>
      </c>
      <c r="K41" s="16" t="str">
        <f t="shared" si="6"/>
        <v>rokprognozy=2019 i lp=38</v>
      </c>
      <c r="L41" s="16" t="str">
        <f t="shared" si="6"/>
        <v>rokprognozy=2020 i lp=38</v>
      </c>
      <c r="M41" s="16" t="str">
        <f t="shared" si="7"/>
        <v>rokprognozy=2021 i lp=38</v>
      </c>
      <c r="N41" s="16" t="str">
        <f t="shared" si="7"/>
        <v>rokprognozy=2022 i lp=38</v>
      </c>
      <c r="O41" s="16" t="str">
        <f t="shared" si="7"/>
        <v>rokprognozy=2023 i lp=38</v>
      </c>
      <c r="P41" s="16" t="str">
        <f t="shared" si="7"/>
        <v>rokprognozy=2024 i lp=38</v>
      </c>
      <c r="Q41" s="16" t="str">
        <f t="shared" si="7"/>
        <v>rokprognozy=2025 i lp=38</v>
      </c>
      <c r="R41" s="16" t="str">
        <f t="shared" si="7"/>
        <v>rokprognozy=2026 i lp=38</v>
      </c>
      <c r="S41" s="16" t="str">
        <f t="shared" si="7"/>
        <v>rokprognozy=2027 i lp=38</v>
      </c>
      <c r="T41" s="16" t="str">
        <f t="shared" si="7"/>
        <v>rokprognozy=2028 i lp=38</v>
      </c>
      <c r="U41" s="16" t="str">
        <f t="shared" si="7"/>
        <v>rokprognozy=2029 i lp=38</v>
      </c>
      <c r="V41" s="16" t="str">
        <f t="shared" si="7"/>
        <v>rokprognozy=2030 i lp=38</v>
      </c>
      <c r="W41" s="16" t="str">
        <f t="shared" si="7"/>
        <v>rokprognozy=2031 i lp=38</v>
      </c>
      <c r="X41" s="16" t="str">
        <f t="shared" si="7"/>
        <v>rokprognozy=2032 i lp=38</v>
      </c>
      <c r="Y41" s="16" t="str">
        <f t="shared" si="7"/>
        <v>rokprognozy=2033 i lp=38</v>
      </c>
      <c r="Z41" s="16" t="str">
        <f t="shared" si="7"/>
        <v>rokprognozy=2034 i lp=38</v>
      </c>
      <c r="AA41" s="16" t="str">
        <f t="shared" si="7"/>
        <v>rokprognozy=2035 i lp=38</v>
      </c>
      <c r="AB41" s="16" t="str">
        <f t="shared" si="7"/>
        <v>rokprognozy=2036 i lp=38</v>
      </c>
      <c r="AC41" s="16" t="str">
        <f t="shared" si="8"/>
        <v>rokprognozy=2037 i lp=38</v>
      </c>
      <c r="AD41" s="16" t="str">
        <f t="shared" si="8"/>
        <v>rokprognozy=2038 i lp=38</v>
      </c>
      <c r="AE41" s="16" t="str">
        <f t="shared" si="8"/>
        <v>rokprognozy=2039 i lp=38</v>
      </c>
      <c r="AF41" s="16" t="str">
        <f t="shared" si="8"/>
        <v>rokprognozy=2040 i lp=38</v>
      </c>
      <c r="AG41" s="16" t="str">
        <f t="shared" si="8"/>
        <v>rokprognozy=2041 i lp=38</v>
      </c>
      <c r="AH41" s="16" t="str">
        <f t="shared" si="8"/>
        <v>rokprognozy=2042 i lp=38</v>
      </c>
      <c r="AI41" s="16" t="str">
        <f t="shared" si="8"/>
        <v>rokprognozy=2043 i lp=38</v>
      </c>
      <c r="AJ41" s="16" t="str">
        <f t="shared" si="8"/>
        <v>rokprognozy=2044 i lp=38</v>
      </c>
      <c r="AK41" s="16" t="str">
        <f t="shared" si="8"/>
        <v>rokprognozy=2045 i lp=38</v>
      </c>
      <c r="AL41" s="16" t="str">
        <f t="shared" si="8"/>
        <v>rokprognozy=2046 i lp=38</v>
      </c>
      <c r="AM41" s="16" t="str">
        <f t="shared" si="8"/>
        <v>rokprognozy=2047 i lp=38</v>
      </c>
      <c r="AN41" s="16" t="str">
        <f t="shared" si="8"/>
        <v>rokprognozy=2048 i lp=38</v>
      </c>
      <c r="AO41" s="16" t="str">
        <f t="shared" si="8"/>
        <v>rokprognozy=2049 i lp=38</v>
      </c>
      <c r="AP41" s="16" t="str">
        <f t="shared" si="8"/>
        <v>rokprognozy=2050 i lp=38</v>
      </c>
    </row>
    <row r="42" spans="1:42">
      <c r="A42" s="6">
        <v>39</v>
      </c>
      <c r="B42" s="17" t="s">
        <v>76</v>
      </c>
      <c r="C42" s="19" t="s">
        <v>77</v>
      </c>
      <c r="D42" s="15" t="str">
        <f t="shared" si="6"/>
        <v>rokprognozy=2012 i lp=39</v>
      </c>
      <c r="E42" s="15" t="str">
        <f t="shared" si="6"/>
        <v>rokprognozy=2013 i lp=39</v>
      </c>
      <c r="F42" s="16" t="str">
        <f t="shared" si="6"/>
        <v>rokprognozy=2014 i lp=39</v>
      </c>
      <c r="G42" s="16" t="str">
        <f t="shared" si="6"/>
        <v>rokprognozy=2015 i lp=39</v>
      </c>
      <c r="H42" s="16" t="str">
        <f t="shared" si="6"/>
        <v>rokprognozy=2016 i lp=39</v>
      </c>
      <c r="I42" s="16" t="str">
        <f t="shared" si="6"/>
        <v>rokprognozy=2017 i lp=39</v>
      </c>
      <c r="J42" s="16" t="str">
        <f t="shared" si="6"/>
        <v>rokprognozy=2018 i lp=39</v>
      </c>
      <c r="K42" s="16" t="str">
        <f t="shared" si="6"/>
        <v>rokprognozy=2019 i lp=39</v>
      </c>
      <c r="L42" s="16" t="str">
        <f t="shared" si="6"/>
        <v>rokprognozy=2020 i lp=39</v>
      </c>
      <c r="M42" s="16" t="str">
        <f t="shared" si="7"/>
        <v>rokprognozy=2021 i lp=39</v>
      </c>
      <c r="N42" s="16" t="str">
        <f t="shared" si="7"/>
        <v>rokprognozy=2022 i lp=39</v>
      </c>
      <c r="O42" s="16" t="str">
        <f t="shared" si="7"/>
        <v>rokprognozy=2023 i lp=39</v>
      </c>
      <c r="P42" s="16" t="str">
        <f t="shared" si="7"/>
        <v>rokprognozy=2024 i lp=39</v>
      </c>
      <c r="Q42" s="16" t="str">
        <f t="shared" si="7"/>
        <v>rokprognozy=2025 i lp=39</v>
      </c>
      <c r="R42" s="16" t="str">
        <f t="shared" si="7"/>
        <v>rokprognozy=2026 i lp=39</v>
      </c>
      <c r="S42" s="16" t="str">
        <f t="shared" si="7"/>
        <v>rokprognozy=2027 i lp=39</v>
      </c>
      <c r="T42" s="16" t="str">
        <f t="shared" si="7"/>
        <v>rokprognozy=2028 i lp=39</v>
      </c>
      <c r="U42" s="16" t="str">
        <f t="shared" si="7"/>
        <v>rokprognozy=2029 i lp=39</v>
      </c>
      <c r="V42" s="16" t="str">
        <f t="shared" si="7"/>
        <v>rokprognozy=2030 i lp=39</v>
      </c>
      <c r="W42" s="16" t="str">
        <f t="shared" si="7"/>
        <v>rokprognozy=2031 i lp=39</v>
      </c>
      <c r="X42" s="16" t="str">
        <f t="shared" si="7"/>
        <v>rokprognozy=2032 i lp=39</v>
      </c>
      <c r="Y42" s="16" t="str">
        <f t="shared" si="7"/>
        <v>rokprognozy=2033 i lp=39</v>
      </c>
      <c r="Z42" s="16" t="str">
        <f t="shared" si="7"/>
        <v>rokprognozy=2034 i lp=39</v>
      </c>
      <c r="AA42" s="16" t="str">
        <f t="shared" si="7"/>
        <v>rokprognozy=2035 i lp=39</v>
      </c>
      <c r="AB42" s="16" t="str">
        <f t="shared" si="7"/>
        <v>rokprognozy=2036 i lp=39</v>
      </c>
      <c r="AC42" s="16" t="str">
        <f t="shared" si="8"/>
        <v>rokprognozy=2037 i lp=39</v>
      </c>
      <c r="AD42" s="16" t="str">
        <f t="shared" si="8"/>
        <v>rokprognozy=2038 i lp=39</v>
      </c>
      <c r="AE42" s="16" t="str">
        <f t="shared" si="8"/>
        <v>rokprognozy=2039 i lp=39</v>
      </c>
      <c r="AF42" s="16" t="str">
        <f t="shared" si="8"/>
        <v>rokprognozy=2040 i lp=39</v>
      </c>
      <c r="AG42" s="16" t="str">
        <f t="shared" si="8"/>
        <v>rokprognozy=2041 i lp=39</v>
      </c>
      <c r="AH42" s="16" t="str">
        <f t="shared" si="8"/>
        <v>rokprognozy=2042 i lp=39</v>
      </c>
      <c r="AI42" s="16" t="str">
        <f t="shared" si="8"/>
        <v>rokprognozy=2043 i lp=39</v>
      </c>
      <c r="AJ42" s="16" t="str">
        <f t="shared" si="8"/>
        <v>rokprognozy=2044 i lp=39</v>
      </c>
      <c r="AK42" s="16" t="str">
        <f t="shared" si="8"/>
        <v>rokprognozy=2045 i lp=39</v>
      </c>
      <c r="AL42" s="16" t="str">
        <f t="shared" si="8"/>
        <v>rokprognozy=2046 i lp=39</v>
      </c>
      <c r="AM42" s="16" t="str">
        <f t="shared" si="8"/>
        <v>rokprognozy=2047 i lp=39</v>
      </c>
      <c r="AN42" s="16" t="str">
        <f t="shared" si="8"/>
        <v>rokprognozy=2048 i lp=39</v>
      </c>
      <c r="AO42" s="16" t="str">
        <f t="shared" si="8"/>
        <v>rokprognozy=2049 i lp=39</v>
      </c>
      <c r="AP42" s="16" t="str">
        <f t="shared" si="8"/>
        <v>rokprognozy=2050 i lp=39</v>
      </c>
    </row>
    <row r="43" spans="1:42">
      <c r="A43" s="6">
        <v>40</v>
      </c>
      <c r="B43" s="17">
        <v>18</v>
      </c>
      <c r="C43" s="19" t="s">
        <v>19</v>
      </c>
      <c r="D43" s="15" t="str">
        <f t="shared" si="6"/>
        <v>rokprognozy=2012 i lp=40</v>
      </c>
      <c r="E43" s="15" t="str">
        <f t="shared" si="6"/>
        <v>rokprognozy=2013 i lp=40</v>
      </c>
      <c r="F43" s="16" t="str">
        <f t="shared" si="6"/>
        <v>rokprognozy=2014 i lp=40</v>
      </c>
      <c r="G43" s="16" t="str">
        <f t="shared" si="6"/>
        <v>rokprognozy=2015 i lp=40</v>
      </c>
      <c r="H43" s="16" t="str">
        <f t="shared" si="6"/>
        <v>rokprognozy=2016 i lp=40</v>
      </c>
      <c r="I43" s="16" t="str">
        <f t="shared" si="6"/>
        <v>rokprognozy=2017 i lp=40</v>
      </c>
      <c r="J43" s="16" t="str">
        <f t="shared" si="6"/>
        <v>rokprognozy=2018 i lp=40</v>
      </c>
      <c r="K43" s="16" t="str">
        <f t="shared" si="6"/>
        <v>rokprognozy=2019 i lp=40</v>
      </c>
      <c r="L43" s="16" t="str">
        <f t="shared" si="6"/>
        <v>rokprognozy=2020 i lp=40</v>
      </c>
      <c r="M43" s="16" t="str">
        <f t="shared" si="7"/>
        <v>rokprognozy=2021 i lp=40</v>
      </c>
      <c r="N43" s="16" t="str">
        <f t="shared" si="7"/>
        <v>rokprognozy=2022 i lp=40</v>
      </c>
      <c r="O43" s="16" t="str">
        <f t="shared" si="7"/>
        <v>rokprognozy=2023 i lp=40</v>
      </c>
      <c r="P43" s="16" t="str">
        <f t="shared" si="7"/>
        <v>rokprognozy=2024 i lp=40</v>
      </c>
      <c r="Q43" s="16" t="str">
        <f t="shared" si="7"/>
        <v>rokprognozy=2025 i lp=40</v>
      </c>
      <c r="R43" s="16" t="str">
        <f t="shared" si="7"/>
        <v>rokprognozy=2026 i lp=40</v>
      </c>
      <c r="S43" s="16" t="str">
        <f t="shared" si="7"/>
        <v>rokprognozy=2027 i lp=40</v>
      </c>
      <c r="T43" s="16" t="str">
        <f t="shared" si="7"/>
        <v>rokprognozy=2028 i lp=40</v>
      </c>
      <c r="U43" s="16" t="str">
        <f t="shared" si="7"/>
        <v>rokprognozy=2029 i lp=40</v>
      </c>
      <c r="V43" s="16" t="str">
        <f t="shared" si="7"/>
        <v>rokprognozy=2030 i lp=40</v>
      </c>
      <c r="W43" s="16" t="str">
        <f t="shared" si="7"/>
        <v>rokprognozy=2031 i lp=40</v>
      </c>
      <c r="X43" s="16" t="str">
        <f t="shared" si="7"/>
        <v>rokprognozy=2032 i lp=40</v>
      </c>
      <c r="Y43" s="16" t="str">
        <f t="shared" si="7"/>
        <v>rokprognozy=2033 i lp=40</v>
      </c>
      <c r="Z43" s="16" t="str">
        <f t="shared" si="7"/>
        <v>rokprognozy=2034 i lp=40</v>
      </c>
      <c r="AA43" s="16" t="str">
        <f t="shared" si="7"/>
        <v>rokprognozy=2035 i lp=40</v>
      </c>
      <c r="AB43" s="16" t="str">
        <f t="shared" si="7"/>
        <v>rokprognozy=2036 i lp=40</v>
      </c>
      <c r="AC43" s="16" t="str">
        <f t="shared" si="8"/>
        <v>rokprognozy=2037 i lp=40</v>
      </c>
      <c r="AD43" s="16" t="str">
        <f t="shared" si="8"/>
        <v>rokprognozy=2038 i lp=40</v>
      </c>
      <c r="AE43" s="16" t="str">
        <f t="shared" si="8"/>
        <v>rokprognozy=2039 i lp=40</v>
      </c>
      <c r="AF43" s="16" t="str">
        <f t="shared" si="8"/>
        <v>rokprognozy=2040 i lp=40</v>
      </c>
      <c r="AG43" s="16" t="str">
        <f t="shared" si="8"/>
        <v>rokprognozy=2041 i lp=40</v>
      </c>
      <c r="AH43" s="16" t="str">
        <f t="shared" si="8"/>
        <v>rokprognozy=2042 i lp=40</v>
      </c>
      <c r="AI43" s="16" t="str">
        <f t="shared" si="8"/>
        <v>rokprognozy=2043 i lp=40</v>
      </c>
      <c r="AJ43" s="16" t="str">
        <f t="shared" si="8"/>
        <v>rokprognozy=2044 i lp=40</v>
      </c>
      <c r="AK43" s="16" t="str">
        <f t="shared" si="8"/>
        <v>rokprognozy=2045 i lp=40</v>
      </c>
      <c r="AL43" s="16" t="str">
        <f t="shared" si="8"/>
        <v>rokprognozy=2046 i lp=40</v>
      </c>
      <c r="AM43" s="16" t="str">
        <f t="shared" si="8"/>
        <v>rokprognozy=2047 i lp=40</v>
      </c>
      <c r="AN43" s="16" t="str">
        <f t="shared" si="8"/>
        <v>rokprognozy=2048 i lp=40</v>
      </c>
      <c r="AO43" s="16" t="str">
        <f t="shared" si="8"/>
        <v>rokprognozy=2049 i lp=40</v>
      </c>
      <c r="AP43" s="16" t="str">
        <f t="shared" si="8"/>
        <v>rokprognozy=2050 i lp=40</v>
      </c>
    </row>
    <row r="44" spans="1:42" ht="24">
      <c r="A44" s="6">
        <v>41</v>
      </c>
      <c r="B44" s="17" t="s">
        <v>78</v>
      </c>
      <c r="C44" s="19" t="s">
        <v>20</v>
      </c>
      <c r="D44" s="15" t="str">
        <f t="shared" si="6"/>
        <v>rokprognozy=2012 i lp=41</v>
      </c>
      <c r="E44" s="15" t="str">
        <f t="shared" si="6"/>
        <v>rokprognozy=2013 i lp=41</v>
      </c>
      <c r="F44" s="16" t="str">
        <f t="shared" si="6"/>
        <v>rokprognozy=2014 i lp=41</v>
      </c>
      <c r="G44" s="16" t="str">
        <f t="shared" si="6"/>
        <v>rokprognozy=2015 i lp=41</v>
      </c>
      <c r="H44" s="16" t="str">
        <f t="shared" si="6"/>
        <v>rokprognozy=2016 i lp=41</v>
      </c>
      <c r="I44" s="16" t="str">
        <f t="shared" si="6"/>
        <v>rokprognozy=2017 i lp=41</v>
      </c>
      <c r="J44" s="16" t="str">
        <f t="shared" si="6"/>
        <v>rokprognozy=2018 i lp=41</v>
      </c>
      <c r="K44" s="16" t="str">
        <f t="shared" si="6"/>
        <v>rokprognozy=2019 i lp=41</v>
      </c>
      <c r="L44" s="16" t="str">
        <f t="shared" si="6"/>
        <v>rokprognozy=2020 i lp=41</v>
      </c>
      <c r="M44" s="16" t="str">
        <f t="shared" si="7"/>
        <v>rokprognozy=2021 i lp=41</v>
      </c>
      <c r="N44" s="16" t="str">
        <f t="shared" si="7"/>
        <v>rokprognozy=2022 i lp=41</v>
      </c>
      <c r="O44" s="16" t="str">
        <f t="shared" si="7"/>
        <v>rokprognozy=2023 i lp=41</v>
      </c>
      <c r="P44" s="16" t="str">
        <f t="shared" si="7"/>
        <v>rokprognozy=2024 i lp=41</v>
      </c>
      <c r="Q44" s="16" t="str">
        <f t="shared" si="7"/>
        <v>rokprognozy=2025 i lp=41</v>
      </c>
      <c r="R44" s="16" t="str">
        <f t="shared" si="7"/>
        <v>rokprognozy=2026 i lp=41</v>
      </c>
      <c r="S44" s="16" t="str">
        <f t="shared" si="7"/>
        <v>rokprognozy=2027 i lp=41</v>
      </c>
      <c r="T44" s="16" t="str">
        <f t="shared" si="7"/>
        <v>rokprognozy=2028 i lp=41</v>
      </c>
      <c r="U44" s="16" t="str">
        <f t="shared" si="7"/>
        <v>rokprognozy=2029 i lp=41</v>
      </c>
      <c r="V44" s="16" t="str">
        <f t="shared" si="7"/>
        <v>rokprognozy=2030 i lp=41</v>
      </c>
      <c r="W44" s="16" t="str">
        <f t="shared" si="7"/>
        <v>rokprognozy=2031 i lp=41</v>
      </c>
      <c r="X44" s="16" t="str">
        <f t="shared" si="7"/>
        <v>rokprognozy=2032 i lp=41</v>
      </c>
      <c r="Y44" s="16" t="str">
        <f t="shared" si="7"/>
        <v>rokprognozy=2033 i lp=41</v>
      </c>
      <c r="Z44" s="16" t="str">
        <f t="shared" si="7"/>
        <v>rokprognozy=2034 i lp=41</v>
      </c>
      <c r="AA44" s="16" t="str">
        <f t="shared" si="7"/>
        <v>rokprognozy=2035 i lp=41</v>
      </c>
      <c r="AB44" s="16" t="str">
        <f t="shared" si="7"/>
        <v>rokprognozy=2036 i lp=41</v>
      </c>
      <c r="AC44" s="16" t="str">
        <f t="shared" si="8"/>
        <v>rokprognozy=2037 i lp=41</v>
      </c>
      <c r="AD44" s="16" t="str">
        <f t="shared" si="8"/>
        <v>rokprognozy=2038 i lp=41</v>
      </c>
      <c r="AE44" s="16" t="str">
        <f t="shared" si="8"/>
        <v>rokprognozy=2039 i lp=41</v>
      </c>
      <c r="AF44" s="16" t="str">
        <f t="shared" si="8"/>
        <v>rokprognozy=2040 i lp=41</v>
      </c>
      <c r="AG44" s="16" t="str">
        <f t="shared" si="8"/>
        <v>rokprognozy=2041 i lp=41</v>
      </c>
      <c r="AH44" s="16" t="str">
        <f t="shared" si="8"/>
        <v>rokprognozy=2042 i lp=41</v>
      </c>
      <c r="AI44" s="16" t="str">
        <f t="shared" si="8"/>
        <v>rokprognozy=2043 i lp=41</v>
      </c>
      <c r="AJ44" s="16" t="str">
        <f t="shared" si="8"/>
        <v>rokprognozy=2044 i lp=41</v>
      </c>
      <c r="AK44" s="16" t="str">
        <f t="shared" si="8"/>
        <v>rokprognozy=2045 i lp=41</v>
      </c>
      <c r="AL44" s="16" t="str">
        <f t="shared" si="8"/>
        <v>rokprognozy=2046 i lp=41</v>
      </c>
      <c r="AM44" s="16" t="str">
        <f t="shared" si="8"/>
        <v>rokprognozy=2047 i lp=41</v>
      </c>
      <c r="AN44" s="16" t="str">
        <f t="shared" si="8"/>
        <v>rokprognozy=2048 i lp=41</v>
      </c>
      <c r="AO44" s="16" t="str">
        <f t="shared" si="8"/>
        <v>rokprognozy=2049 i lp=41</v>
      </c>
      <c r="AP44" s="16" t="str">
        <f t="shared" si="8"/>
        <v>rokprognozy=2050 i lp=41</v>
      </c>
    </row>
    <row r="45" spans="1:42" ht="24">
      <c r="A45" s="6">
        <v>42</v>
      </c>
      <c r="B45" s="17">
        <v>19</v>
      </c>
      <c r="C45" s="19" t="s">
        <v>21</v>
      </c>
      <c r="D45" s="15" t="str">
        <f t="shared" si="6"/>
        <v>rokprognozy=2012 i lp=42</v>
      </c>
      <c r="E45" s="15" t="str">
        <f t="shared" si="6"/>
        <v>rokprognozy=2013 i lp=42</v>
      </c>
      <c r="F45" s="16" t="str">
        <f t="shared" si="6"/>
        <v>rokprognozy=2014 i lp=42</v>
      </c>
      <c r="G45" s="16" t="str">
        <f t="shared" si="6"/>
        <v>rokprognozy=2015 i lp=42</v>
      </c>
      <c r="H45" s="16" t="str">
        <f t="shared" si="6"/>
        <v>rokprognozy=2016 i lp=42</v>
      </c>
      <c r="I45" s="16" t="str">
        <f t="shared" si="6"/>
        <v>rokprognozy=2017 i lp=42</v>
      </c>
      <c r="J45" s="16" t="str">
        <f t="shared" si="6"/>
        <v>rokprognozy=2018 i lp=42</v>
      </c>
      <c r="K45" s="16" t="str">
        <f t="shared" si="6"/>
        <v>rokprognozy=2019 i lp=42</v>
      </c>
      <c r="L45" s="16" t="str">
        <f t="shared" si="6"/>
        <v>rokprognozy=2020 i lp=42</v>
      </c>
      <c r="M45" s="16" t="str">
        <f t="shared" si="7"/>
        <v>rokprognozy=2021 i lp=42</v>
      </c>
      <c r="N45" s="16" t="str">
        <f t="shared" si="7"/>
        <v>rokprognozy=2022 i lp=42</v>
      </c>
      <c r="O45" s="16" t="str">
        <f t="shared" si="7"/>
        <v>rokprognozy=2023 i lp=42</v>
      </c>
      <c r="P45" s="16" t="str">
        <f t="shared" si="7"/>
        <v>rokprognozy=2024 i lp=42</v>
      </c>
      <c r="Q45" s="16" t="str">
        <f t="shared" si="7"/>
        <v>rokprognozy=2025 i lp=42</v>
      </c>
      <c r="R45" s="16" t="str">
        <f t="shared" si="7"/>
        <v>rokprognozy=2026 i lp=42</v>
      </c>
      <c r="S45" s="16" t="str">
        <f t="shared" si="7"/>
        <v>rokprognozy=2027 i lp=42</v>
      </c>
      <c r="T45" s="16" t="str">
        <f t="shared" si="7"/>
        <v>rokprognozy=2028 i lp=42</v>
      </c>
      <c r="U45" s="16" t="str">
        <f t="shared" si="7"/>
        <v>rokprognozy=2029 i lp=42</v>
      </c>
      <c r="V45" s="16" t="str">
        <f t="shared" si="7"/>
        <v>rokprognozy=2030 i lp=42</v>
      </c>
      <c r="W45" s="16" t="str">
        <f t="shared" si="7"/>
        <v>rokprognozy=2031 i lp=42</v>
      </c>
      <c r="X45" s="16" t="str">
        <f t="shared" si="7"/>
        <v>rokprognozy=2032 i lp=42</v>
      </c>
      <c r="Y45" s="16" t="str">
        <f t="shared" si="7"/>
        <v>rokprognozy=2033 i lp=42</v>
      </c>
      <c r="Z45" s="16" t="str">
        <f t="shared" si="7"/>
        <v>rokprognozy=2034 i lp=42</v>
      </c>
      <c r="AA45" s="16" t="str">
        <f t="shared" si="7"/>
        <v>rokprognozy=2035 i lp=42</v>
      </c>
      <c r="AB45" s="16" t="str">
        <f t="shared" si="7"/>
        <v>rokprognozy=2036 i lp=42</v>
      </c>
      <c r="AC45" s="16" t="str">
        <f t="shared" si="8"/>
        <v>rokprognozy=2037 i lp=42</v>
      </c>
      <c r="AD45" s="16" t="str">
        <f t="shared" si="8"/>
        <v>rokprognozy=2038 i lp=42</v>
      </c>
      <c r="AE45" s="16" t="str">
        <f t="shared" si="8"/>
        <v>rokprognozy=2039 i lp=42</v>
      </c>
      <c r="AF45" s="16" t="str">
        <f t="shared" si="8"/>
        <v>rokprognozy=2040 i lp=42</v>
      </c>
      <c r="AG45" s="16" t="str">
        <f t="shared" si="8"/>
        <v>rokprognozy=2041 i lp=42</v>
      </c>
      <c r="AH45" s="16" t="str">
        <f t="shared" si="8"/>
        <v>rokprognozy=2042 i lp=42</v>
      </c>
      <c r="AI45" s="16" t="str">
        <f t="shared" si="8"/>
        <v>rokprognozy=2043 i lp=42</v>
      </c>
      <c r="AJ45" s="16" t="str">
        <f t="shared" si="8"/>
        <v>rokprognozy=2044 i lp=42</v>
      </c>
      <c r="AK45" s="16" t="str">
        <f t="shared" si="8"/>
        <v>rokprognozy=2045 i lp=42</v>
      </c>
      <c r="AL45" s="16" t="str">
        <f t="shared" si="8"/>
        <v>rokprognozy=2046 i lp=42</v>
      </c>
      <c r="AM45" s="16" t="str">
        <f t="shared" si="8"/>
        <v>rokprognozy=2047 i lp=42</v>
      </c>
      <c r="AN45" s="16" t="str">
        <f t="shared" si="8"/>
        <v>rokprognozy=2048 i lp=42</v>
      </c>
      <c r="AO45" s="16" t="str">
        <f t="shared" si="8"/>
        <v>rokprognozy=2049 i lp=42</v>
      </c>
      <c r="AP45" s="16" t="str">
        <f t="shared" si="8"/>
        <v>rokprognozy=2050 i lp=42</v>
      </c>
    </row>
    <row r="46" spans="1:42" ht="24">
      <c r="A46" s="6">
        <v>43</v>
      </c>
      <c r="B46" s="17" t="s">
        <v>79</v>
      </c>
      <c r="C46" s="19" t="s">
        <v>22</v>
      </c>
      <c r="D46" s="15" t="str">
        <f t="shared" ref="D46:L60" si="9">+"rokprognozy="&amp;D$3&amp;" i lp="&amp;$A46</f>
        <v>rokprognozy=2012 i lp=43</v>
      </c>
      <c r="E46" s="15" t="str">
        <f t="shared" si="9"/>
        <v>rokprognozy=2013 i lp=43</v>
      </c>
      <c r="F46" s="16" t="str">
        <f t="shared" si="9"/>
        <v>rokprognozy=2014 i lp=43</v>
      </c>
      <c r="G46" s="16" t="str">
        <f t="shared" si="9"/>
        <v>rokprognozy=2015 i lp=43</v>
      </c>
      <c r="H46" s="16" t="str">
        <f t="shared" si="9"/>
        <v>rokprognozy=2016 i lp=43</v>
      </c>
      <c r="I46" s="16" t="str">
        <f t="shared" si="9"/>
        <v>rokprognozy=2017 i lp=43</v>
      </c>
      <c r="J46" s="16" t="str">
        <f t="shared" si="9"/>
        <v>rokprognozy=2018 i lp=43</v>
      </c>
      <c r="K46" s="16" t="str">
        <f t="shared" si="9"/>
        <v>rokprognozy=2019 i lp=43</v>
      </c>
      <c r="L46" s="16" t="str">
        <f t="shared" si="9"/>
        <v>rokprognozy=2020 i lp=43</v>
      </c>
      <c r="M46" s="16" t="str">
        <f t="shared" si="7"/>
        <v>rokprognozy=2021 i lp=43</v>
      </c>
      <c r="N46" s="16" t="str">
        <f t="shared" si="7"/>
        <v>rokprognozy=2022 i lp=43</v>
      </c>
      <c r="O46" s="16" t="str">
        <f t="shared" si="7"/>
        <v>rokprognozy=2023 i lp=43</v>
      </c>
      <c r="P46" s="16" t="str">
        <f t="shared" si="7"/>
        <v>rokprognozy=2024 i lp=43</v>
      </c>
      <c r="Q46" s="16" t="str">
        <f t="shared" si="7"/>
        <v>rokprognozy=2025 i lp=43</v>
      </c>
      <c r="R46" s="16" t="str">
        <f t="shared" si="7"/>
        <v>rokprognozy=2026 i lp=43</v>
      </c>
      <c r="S46" s="16" t="str">
        <f t="shared" si="7"/>
        <v>rokprognozy=2027 i lp=43</v>
      </c>
      <c r="T46" s="16" t="str">
        <f t="shared" si="7"/>
        <v>rokprognozy=2028 i lp=43</v>
      </c>
      <c r="U46" s="16" t="str">
        <f t="shared" si="7"/>
        <v>rokprognozy=2029 i lp=43</v>
      </c>
      <c r="V46" s="16" t="str">
        <f t="shared" si="7"/>
        <v>rokprognozy=2030 i lp=43</v>
      </c>
      <c r="W46" s="16" t="str">
        <f t="shared" si="7"/>
        <v>rokprognozy=2031 i lp=43</v>
      </c>
      <c r="X46" s="16" t="str">
        <f t="shared" si="7"/>
        <v>rokprognozy=2032 i lp=43</v>
      </c>
      <c r="Y46" s="16" t="str">
        <f t="shared" si="7"/>
        <v>rokprognozy=2033 i lp=43</v>
      </c>
      <c r="Z46" s="16" t="str">
        <f t="shared" si="7"/>
        <v>rokprognozy=2034 i lp=43</v>
      </c>
      <c r="AA46" s="16" t="str">
        <f t="shared" si="7"/>
        <v>rokprognozy=2035 i lp=43</v>
      </c>
      <c r="AB46" s="16" t="str">
        <f t="shared" si="7"/>
        <v>rokprognozy=2036 i lp=43</v>
      </c>
      <c r="AC46" s="16" t="str">
        <f t="shared" si="8"/>
        <v>rokprognozy=2037 i lp=43</v>
      </c>
      <c r="AD46" s="16" t="str">
        <f t="shared" si="8"/>
        <v>rokprognozy=2038 i lp=43</v>
      </c>
      <c r="AE46" s="16" t="str">
        <f t="shared" si="8"/>
        <v>rokprognozy=2039 i lp=43</v>
      </c>
      <c r="AF46" s="16" t="str">
        <f t="shared" si="8"/>
        <v>rokprognozy=2040 i lp=43</v>
      </c>
      <c r="AG46" s="16" t="str">
        <f t="shared" si="8"/>
        <v>rokprognozy=2041 i lp=43</v>
      </c>
      <c r="AH46" s="16" t="str">
        <f t="shared" si="8"/>
        <v>rokprognozy=2042 i lp=43</v>
      </c>
      <c r="AI46" s="16" t="str">
        <f t="shared" si="8"/>
        <v>rokprognozy=2043 i lp=43</v>
      </c>
      <c r="AJ46" s="16" t="str">
        <f t="shared" si="8"/>
        <v>rokprognozy=2044 i lp=43</v>
      </c>
      <c r="AK46" s="16" t="str">
        <f t="shared" si="8"/>
        <v>rokprognozy=2045 i lp=43</v>
      </c>
      <c r="AL46" s="16" t="str">
        <f t="shared" si="8"/>
        <v>rokprognozy=2046 i lp=43</v>
      </c>
      <c r="AM46" s="16" t="str">
        <f t="shared" si="8"/>
        <v>rokprognozy=2047 i lp=43</v>
      </c>
      <c r="AN46" s="16" t="str">
        <f t="shared" si="8"/>
        <v>rokprognozy=2048 i lp=43</v>
      </c>
      <c r="AO46" s="16" t="str">
        <f t="shared" si="8"/>
        <v>rokprognozy=2049 i lp=43</v>
      </c>
      <c r="AP46" s="16" t="str">
        <f t="shared" si="8"/>
        <v>rokprognozy=2050 i lp=43</v>
      </c>
    </row>
    <row r="47" spans="1:42">
      <c r="A47" s="6">
        <v>44</v>
      </c>
      <c r="B47" s="17">
        <v>20</v>
      </c>
      <c r="C47" s="19" t="s">
        <v>80</v>
      </c>
      <c r="D47" s="15" t="str">
        <f t="shared" si="9"/>
        <v>rokprognozy=2012 i lp=44</v>
      </c>
      <c r="E47" s="15" t="str">
        <f t="shared" si="9"/>
        <v>rokprognozy=2013 i lp=44</v>
      </c>
      <c r="F47" s="16" t="str">
        <f t="shared" si="9"/>
        <v>rokprognozy=2014 i lp=44</v>
      </c>
      <c r="G47" s="16" t="str">
        <f t="shared" si="9"/>
        <v>rokprognozy=2015 i lp=44</v>
      </c>
      <c r="H47" s="16" t="str">
        <f t="shared" si="9"/>
        <v>rokprognozy=2016 i lp=44</v>
      </c>
      <c r="I47" s="16" t="str">
        <f t="shared" si="9"/>
        <v>rokprognozy=2017 i lp=44</v>
      </c>
      <c r="J47" s="16" t="str">
        <f t="shared" si="9"/>
        <v>rokprognozy=2018 i lp=44</v>
      </c>
      <c r="K47" s="16" t="str">
        <f t="shared" si="9"/>
        <v>rokprognozy=2019 i lp=44</v>
      </c>
      <c r="L47" s="16" t="str">
        <f t="shared" si="9"/>
        <v>rokprognozy=2020 i lp=44</v>
      </c>
      <c r="M47" s="16" t="str">
        <f t="shared" si="7"/>
        <v>rokprognozy=2021 i lp=44</v>
      </c>
      <c r="N47" s="16" t="str">
        <f t="shared" si="7"/>
        <v>rokprognozy=2022 i lp=44</v>
      </c>
      <c r="O47" s="16" t="str">
        <f t="shared" si="7"/>
        <v>rokprognozy=2023 i lp=44</v>
      </c>
      <c r="P47" s="16" t="str">
        <f t="shared" si="7"/>
        <v>rokprognozy=2024 i lp=44</v>
      </c>
      <c r="Q47" s="16" t="str">
        <f t="shared" si="7"/>
        <v>rokprognozy=2025 i lp=44</v>
      </c>
      <c r="R47" s="16" t="str">
        <f t="shared" si="7"/>
        <v>rokprognozy=2026 i lp=44</v>
      </c>
      <c r="S47" s="16" t="str">
        <f t="shared" si="7"/>
        <v>rokprognozy=2027 i lp=44</v>
      </c>
      <c r="T47" s="16" t="str">
        <f t="shared" si="7"/>
        <v>rokprognozy=2028 i lp=44</v>
      </c>
      <c r="U47" s="16" t="str">
        <f t="shared" si="7"/>
        <v>rokprognozy=2029 i lp=44</v>
      </c>
      <c r="V47" s="16" t="str">
        <f t="shared" si="7"/>
        <v>rokprognozy=2030 i lp=44</v>
      </c>
      <c r="W47" s="16" t="str">
        <f t="shared" si="7"/>
        <v>rokprognozy=2031 i lp=44</v>
      </c>
      <c r="X47" s="16" t="str">
        <f t="shared" si="7"/>
        <v>rokprognozy=2032 i lp=44</v>
      </c>
      <c r="Y47" s="16" t="str">
        <f t="shared" si="7"/>
        <v>rokprognozy=2033 i lp=44</v>
      </c>
      <c r="Z47" s="16" t="str">
        <f t="shared" si="7"/>
        <v>rokprognozy=2034 i lp=44</v>
      </c>
      <c r="AA47" s="16" t="str">
        <f t="shared" si="7"/>
        <v>rokprognozy=2035 i lp=44</v>
      </c>
      <c r="AB47" s="16" t="str">
        <f t="shared" si="7"/>
        <v>rokprognozy=2036 i lp=44</v>
      </c>
      <c r="AC47" s="16" t="str">
        <f t="shared" si="8"/>
        <v>rokprognozy=2037 i lp=44</v>
      </c>
      <c r="AD47" s="16" t="str">
        <f t="shared" si="8"/>
        <v>rokprognozy=2038 i lp=44</v>
      </c>
      <c r="AE47" s="16" t="str">
        <f t="shared" si="8"/>
        <v>rokprognozy=2039 i lp=44</v>
      </c>
      <c r="AF47" s="16" t="str">
        <f t="shared" si="8"/>
        <v>rokprognozy=2040 i lp=44</v>
      </c>
      <c r="AG47" s="16" t="str">
        <f t="shared" si="8"/>
        <v>rokprognozy=2041 i lp=44</v>
      </c>
      <c r="AH47" s="16" t="str">
        <f t="shared" si="8"/>
        <v>rokprognozy=2042 i lp=44</v>
      </c>
      <c r="AI47" s="16" t="str">
        <f t="shared" si="8"/>
        <v>rokprognozy=2043 i lp=44</v>
      </c>
      <c r="AJ47" s="16" t="str">
        <f t="shared" si="8"/>
        <v>rokprognozy=2044 i lp=44</v>
      </c>
      <c r="AK47" s="16" t="str">
        <f t="shared" si="8"/>
        <v>rokprognozy=2045 i lp=44</v>
      </c>
      <c r="AL47" s="16" t="str">
        <f t="shared" si="8"/>
        <v>rokprognozy=2046 i lp=44</v>
      </c>
      <c r="AM47" s="16" t="str">
        <f t="shared" si="8"/>
        <v>rokprognozy=2047 i lp=44</v>
      </c>
      <c r="AN47" s="16" t="str">
        <f t="shared" si="8"/>
        <v>rokprognozy=2048 i lp=44</v>
      </c>
      <c r="AO47" s="16" t="str">
        <f t="shared" si="8"/>
        <v>rokprognozy=2049 i lp=44</v>
      </c>
      <c r="AP47" s="16" t="str">
        <f t="shared" si="8"/>
        <v>rokprognozy=2050 i lp=44</v>
      </c>
    </row>
    <row r="48" spans="1:42">
      <c r="A48" s="6">
        <v>45</v>
      </c>
      <c r="B48" s="17" t="s">
        <v>81</v>
      </c>
      <c r="C48" s="19" t="s">
        <v>12</v>
      </c>
      <c r="D48" s="15" t="str">
        <f t="shared" si="9"/>
        <v>rokprognozy=2012 i lp=45</v>
      </c>
      <c r="E48" s="15" t="str">
        <f t="shared" si="9"/>
        <v>rokprognozy=2013 i lp=45</v>
      </c>
      <c r="F48" s="16" t="str">
        <f t="shared" si="9"/>
        <v>rokprognozy=2014 i lp=45</v>
      </c>
      <c r="G48" s="16" t="str">
        <f t="shared" si="9"/>
        <v>rokprognozy=2015 i lp=45</v>
      </c>
      <c r="H48" s="16" t="str">
        <f t="shared" si="9"/>
        <v>rokprognozy=2016 i lp=45</v>
      </c>
      <c r="I48" s="16" t="str">
        <f t="shared" si="9"/>
        <v>rokprognozy=2017 i lp=45</v>
      </c>
      <c r="J48" s="16" t="str">
        <f t="shared" si="9"/>
        <v>rokprognozy=2018 i lp=45</v>
      </c>
      <c r="K48" s="16" t="str">
        <f t="shared" si="9"/>
        <v>rokprognozy=2019 i lp=45</v>
      </c>
      <c r="L48" s="16" t="str">
        <f t="shared" si="9"/>
        <v>rokprognozy=2020 i lp=45</v>
      </c>
      <c r="M48" s="16" t="str">
        <f t="shared" si="7"/>
        <v>rokprognozy=2021 i lp=45</v>
      </c>
      <c r="N48" s="16" t="str">
        <f t="shared" si="7"/>
        <v>rokprognozy=2022 i lp=45</v>
      </c>
      <c r="O48" s="16" t="str">
        <f t="shared" si="7"/>
        <v>rokprognozy=2023 i lp=45</v>
      </c>
      <c r="P48" s="16" t="str">
        <f t="shared" si="7"/>
        <v>rokprognozy=2024 i lp=45</v>
      </c>
      <c r="Q48" s="16" t="str">
        <f t="shared" si="7"/>
        <v>rokprognozy=2025 i lp=45</v>
      </c>
      <c r="R48" s="16" t="str">
        <f t="shared" si="7"/>
        <v>rokprognozy=2026 i lp=45</v>
      </c>
      <c r="S48" s="16" t="str">
        <f t="shared" si="7"/>
        <v>rokprognozy=2027 i lp=45</v>
      </c>
      <c r="T48" s="16" t="str">
        <f t="shared" si="7"/>
        <v>rokprognozy=2028 i lp=45</v>
      </c>
      <c r="U48" s="16" t="str">
        <f t="shared" si="7"/>
        <v>rokprognozy=2029 i lp=45</v>
      </c>
      <c r="V48" s="16" t="str">
        <f t="shared" si="7"/>
        <v>rokprognozy=2030 i lp=45</v>
      </c>
      <c r="W48" s="16" t="str">
        <f t="shared" si="7"/>
        <v>rokprognozy=2031 i lp=45</v>
      </c>
      <c r="X48" s="16" t="str">
        <f t="shared" si="7"/>
        <v>rokprognozy=2032 i lp=45</v>
      </c>
      <c r="Y48" s="16" t="str">
        <f t="shared" si="7"/>
        <v>rokprognozy=2033 i lp=45</v>
      </c>
      <c r="Z48" s="16" t="str">
        <f t="shared" si="7"/>
        <v>rokprognozy=2034 i lp=45</v>
      </c>
      <c r="AA48" s="16" t="str">
        <f t="shared" si="7"/>
        <v>rokprognozy=2035 i lp=45</v>
      </c>
      <c r="AB48" s="16" t="str">
        <f t="shared" si="7"/>
        <v>rokprognozy=2036 i lp=45</v>
      </c>
      <c r="AC48" s="16" t="str">
        <f t="shared" si="8"/>
        <v>rokprognozy=2037 i lp=45</v>
      </c>
      <c r="AD48" s="16" t="str">
        <f t="shared" si="8"/>
        <v>rokprognozy=2038 i lp=45</v>
      </c>
      <c r="AE48" s="16" t="str">
        <f t="shared" si="8"/>
        <v>rokprognozy=2039 i lp=45</v>
      </c>
      <c r="AF48" s="16" t="str">
        <f t="shared" si="8"/>
        <v>rokprognozy=2040 i lp=45</v>
      </c>
      <c r="AG48" s="16" t="str">
        <f t="shared" si="8"/>
        <v>rokprognozy=2041 i lp=45</v>
      </c>
      <c r="AH48" s="16" t="str">
        <f t="shared" si="8"/>
        <v>rokprognozy=2042 i lp=45</v>
      </c>
      <c r="AI48" s="16" t="str">
        <f t="shared" si="8"/>
        <v>rokprognozy=2043 i lp=45</v>
      </c>
      <c r="AJ48" s="16" t="str">
        <f t="shared" si="8"/>
        <v>rokprognozy=2044 i lp=45</v>
      </c>
      <c r="AK48" s="16" t="str">
        <f t="shared" si="8"/>
        <v>rokprognozy=2045 i lp=45</v>
      </c>
      <c r="AL48" s="16" t="str">
        <f t="shared" si="8"/>
        <v>rokprognozy=2046 i lp=45</v>
      </c>
      <c r="AM48" s="16" t="str">
        <f t="shared" si="8"/>
        <v>rokprognozy=2047 i lp=45</v>
      </c>
      <c r="AN48" s="16" t="str">
        <f t="shared" si="8"/>
        <v>rokprognozy=2048 i lp=45</v>
      </c>
      <c r="AO48" s="16" t="str">
        <f t="shared" si="8"/>
        <v>rokprognozy=2049 i lp=45</v>
      </c>
      <c r="AP48" s="16" t="str">
        <f t="shared" si="8"/>
        <v>rokprognozy=2050 i lp=45</v>
      </c>
    </row>
    <row r="49" spans="1:42" ht="24">
      <c r="A49" s="6">
        <v>46</v>
      </c>
      <c r="B49" s="17">
        <v>21</v>
      </c>
      <c r="C49" s="19" t="s">
        <v>13</v>
      </c>
      <c r="D49" s="15" t="str">
        <f t="shared" si="9"/>
        <v>rokprognozy=2012 i lp=46</v>
      </c>
      <c r="E49" s="15" t="str">
        <f t="shared" si="9"/>
        <v>rokprognozy=2013 i lp=46</v>
      </c>
      <c r="F49" s="16" t="str">
        <f t="shared" si="9"/>
        <v>rokprognozy=2014 i lp=46</v>
      </c>
      <c r="G49" s="16" t="str">
        <f t="shared" si="9"/>
        <v>rokprognozy=2015 i lp=46</v>
      </c>
      <c r="H49" s="16" t="str">
        <f t="shared" si="9"/>
        <v>rokprognozy=2016 i lp=46</v>
      </c>
      <c r="I49" s="16" t="str">
        <f t="shared" si="9"/>
        <v>rokprognozy=2017 i lp=46</v>
      </c>
      <c r="J49" s="16" t="str">
        <f t="shared" si="9"/>
        <v>rokprognozy=2018 i lp=46</v>
      </c>
      <c r="K49" s="16" t="str">
        <f t="shared" si="9"/>
        <v>rokprognozy=2019 i lp=46</v>
      </c>
      <c r="L49" s="16" t="str">
        <f t="shared" si="9"/>
        <v>rokprognozy=2020 i lp=46</v>
      </c>
      <c r="M49" s="16" t="str">
        <f t="shared" si="7"/>
        <v>rokprognozy=2021 i lp=46</v>
      </c>
      <c r="N49" s="16" t="str">
        <f t="shared" si="7"/>
        <v>rokprognozy=2022 i lp=46</v>
      </c>
      <c r="O49" s="16" t="str">
        <f t="shared" si="7"/>
        <v>rokprognozy=2023 i lp=46</v>
      </c>
      <c r="P49" s="16" t="str">
        <f t="shared" si="7"/>
        <v>rokprognozy=2024 i lp=46</v>
      </c>
      <c r="Q49" s="16" t="str">
        <f t="shared" si="7"/>
        <v>rokprognozy=2025 i lp=46</v>
      </c>
      <c r="R49" s="16" t="str">
        <f t="shared" si="7"/>
        <v>rokprognozy=2026 i lp=46</v>
      </c>
      <c r="S49" s="16" t="str">
        <f t="shared" ref="M49:AB60" si="10">+"rokprognozy="&amp;S$3&amp;" i lp="&amp;$A49</f>
        <v>rokprognozy=2027 i lp=46</v>
      </c>
      <c r="T49" s="16" t="str">
        <f t="shared" si="10"/>
        <v>rokprognozy=2028 i lp=46</v>
      </c>
      <c r="U49" s="16" t="str">
        <f t="shared" si="10"/>
        <v>rokprognozy=2029 i lp=46</v>
      </c>
      <c r="V49" s="16" t="str">
        <f t="shared" si="10"/>
        <v>rokprognozy=2030 i lp=46</v>
      </c>
      <c r="W49" s="16" t="str">
        <f t="shared" si="10"/>
        <v>rokprognozy=2031 i lp=46</v>
      </c>
      <c r="X49" s="16" t="str">
        <f t="shared" si="10"/>
        <v>rokprognozy=2032 i lp=46</v>
      </c>
      <c r="Y49" s="16" t="str">
        <f t="shared" si="10"/>
        <v>rokprognozy=2033 i lp=46</v>
      </c>
      <c r="Z49" s="16" t="str">
        <f t="shared" si="10"/>
        <v>rokprognozy=2034 i lp=46</v>
      </c>
      <c r="AA49" s="16" t="str">
        <f t="shared" si="10"/>
        <v>rokprognozy=2035 i lp=46</v>
      </c>
      <c r="AB49" s="16" t="str">
        <f t="shared" si="10"/>
        <v>rokprognozy=2036 i lp=46</v>
      </c>
      <c r="AC49" s="16" t="str">
        <f t="shared" si="8"/>
        <v>rokprognozy=2037 i lp=46</v>
      </c>
      <c r="AD49" s="16" t="str">
        <f t="shared" si="8"/>
        <v>rokprognozy=2038 i lp=46</v>
      </c>
      <c r="AE49" s="16" t="str">
        <f t="shared" si="8"/>
        <v>rokprognozy=2039 i lp=46</v>
      </c>
      <c r="AF49" s="16" t="str">
        <f t="shared" si="8"/>
        <v>rokprognozy=2040 i lp=46</v>
      </c>
      <c r="AG49" s="16" t="str">
        <f t="shared" si="8"/>
        <v>rokprognozy=2041 i lp=46</v>
      </c>
      <c r="AH49" s="16" t="str">
        <f t="shared" si="8"/>
        <v>rokprognozy=2042 i lp=46</v>
      </c>
      <c r="AI49" s="16" t="str">
        <f t="shared" si="8"/>
        <v>rokprognozy=2043 i lp=46</v>
      </c>
      <c r="AJ49" s="16" t="str">
        <f t="shared" si="8"/>
        <v>rokprognozy=2044 i lp=46</v>
      </c>
      <c r="AK49" s="16" t="str">
        <f t="shared" si="8"/>
        <v>rokprognozy=2045 i lp=46</v>
      </c>
      <c r="AL49" s="16" t="str">
        <f t="shared" si="8"/>
        <v>rokprognozy=2046 i lp=46</v>
      </c>
      <c r="AM49" s="16" t="str">
        <f t="shared" si="8"/>
        <v>rokprognozy=2047 i lp=46</v>
      </c>
      <c r="AN49" s="16" t="str">
        <f t="shared" si="8"/>
        <v>rokprognozy=2048 i lp=46</v>
      </c>
      <c r="AO49" s="16" t="str">
        <f t="shared" si="8"/>
        <v>rokprognozy=2049 i lp=46</v>
      </c>
      <c r="AP49" s="16" t="str">
        <f t="shared" si="8"/>
        <v>rokprognozy=2050 i lp=46</v>
      </c>
    </row>
    <row r="50" spans="1:42" ht="24">
      <c r="A50" s="6">
        <v>47</v>
      </c>
      <c r="B50" s="17" t="s">
        <v>82</v>
      </c>
      <c r="C50" s="19" t="s">
        <v>23</v>
      </c>
      <c r="D50" s="15" t="str">
        <f t="shared" si="9"/>
        <v>rokprognozy=2012 i lp=47</v>
      </c>
      <c r="E50" s="15" t="str">
        <f t="shared" si="9"/>
        <v>rokprognozy=2013 i lp=47</v>
      </c>
      <c r="F50" s="16" t="str">
        <f t="shared" si="9"/>
        <v>rokprognozy=2014 i lp=47</v>
      </c>
      <c r="G50" s="16" t="str">
        <f t="shared" si="9"/>
        <v>rokprognozy=2015 i lp=47</v>
      </c>
      <c r="H50" s="16" t="str">
        <f t="shared" si="9"/>
        <v>rokprognozy=2016 i lp=47</v>
      </c>
      <c r="I50" s="16" t="str">
        <f t="shared" si="9"/>
        <v>rokprognozy=2017 i lp=47</v>
      </c>
      <c r="J50" s="16" t="str">
        <f t="shared" si="9"/>
        <v>rokprognozy=2018 i lp=47</v>
      </c>
      <c r="K50" s="16" t="str">
        <f t="shared" si="9"/>
        <v>rokprognozy=2019 i lp=47</v>
      </c>
      <c r="L50" s="16" t="str">
        <f t="shared" si="9"/>
        <v>rokprognozy=2020 i lp=47</v>
      </c>
      <c r="M50" s="16" t="str">
        <f t="shared" si="10"/>
        <v>rokprognozy=2021 i lp=47</v>
      </c>
      <c r="N50" s="16" t="str">
        <f t="shared" si="10"/>
        <v>rokprognozy=2022 i lp=47</v>
      </c>
      <c r="O50" s="16" t="str">
        <f t="shared" si="10"/>
        <v>rokprognozy=2023 i lp=47</v>
      </c>
      <c r="P50" s="16" t="str">
        <f t="shared" si="10"/>
        <v>rokprognozy=2024 i lp=47</v>
      </c>
      <c r="Q50" s="16" t="str">
        <f t="shared" si="10"/>
        <v>rokprognozy=2025 i lp=47</v>
      </c>
      <c r="R50" s="16" t="str">
        <f t="shared" si="10"/>
        <v>rokprognozy=2026 i lp=47</v>
      </c>
      <c r="S50" s="16" t="str">
        <f t="shared" si="10"/>
        <v>rokprognozy=2027 i lp=47</v>
      </c>
      <c r="T50" s="16" t="str">
        <f t="shared" si="10"/>
        <v>rokprognozy=2028 i lp=47</v>
      </c>
      <c r="U50" s="16" t="str">
        <f t="shared" si="10"/>
        <v>rokprognozy=2029 i lp=47</v>
      </c>
      <c r="V50" s="16" t="str">
        <f t="shared" si="10"/>
        <v>rokprognozy=2030 i lp=47</v>
      </c>
      <c r="W50" s="16" t="str">
        <f t="shared" si="10"/>
        <v>rokprognozy=2031 i lp=47</v>
      </c>
      <c r="X50" s="16" t="str">
        <f t="shared" si="10"/>
        <v>rokprognozy=2032 i lp=47</v>
      </c>
      <c r="Y50" s="16" t="str">
        <f t="shared" si="10"/>
        <v>rokprognozy=2033 i lp=47</v>
      </c>
      <c r="Z50" s="16" t="str">
        <f t="shared" si="10"/>
        <v>rokprognozy=2034 i lp=47</v>
      </c>
      <c r="AA50" s="16" t="str">
        <f t="shared" si="10"/>
        <v>rokprognozy=2035 i lp=47</v>
      </c>
      <c r="AB50" s="16" t="str">
        <f t="shared" si="10"/>
        <v>rokprognozy=2036 i lp=47</v>
      </c>
      <c r="AC50" s="16" t="str">
        <f t="shared" si="8"/>
        <v>rokprognozy=2037 i lp=47</v>
      </c>
      <c r="AD50" s="16" t="str">
        <f t="shared" si="8"/>
        <v>rokprognozy=2038 i lp=47</v>
      </c>
      <c r="AE50" s="16" t="str">
        <f t="shared" si="8"/>
        <v>rokprognozy=2039 i lp=47</v>
      </c>
      <c r="AF50" s="16" t="str">
        <f t="shared" si="8"/>
        <v>rokprognozy=2040 i lp=47</v>
      </c>
      <c r="AG50" s="16" t="str">
        <f t="shared" si="8"/>
        <v>rokprognozy=2041 i lp=47</v>
      </c>
      <c r="AH50" s="16" t="str">
        <f t="shared" si="8"/>
        <v>rokprognozy=2042 i lp=47</v>
      </c>
      <c r="AI50" s="16" t="str">
        <f t="shared" si="8"/>
        <v>rokprognozy=2043 i lp=47</v>
      </c>
      <c r="AJ50" s="16" t="str">
        <f t="shared" si="8"/>
        <v>rokprognozy=2044 i lp=47</v>
      </c>
      <c r="AK50" s="16" t="str">
        <f t="shared" si="8"/>
        <v>rokprognozy=2045 i lp=47</v>
      </c>
      <c r="AL50" s="16" t="str">
        <f t="shared" si="8"/>
        <v>rokprognozy=2046 i lp=47</v>
      </c>
      <c r="AM50" s="16" t="str">
        <f t="shared" si="8"/>
        <v>rokprognozy=2047 i lp=47</v>
      </c>
      <c r="AN50" s="16" t="str">
        <f t="shared" si="8"/>
        <v>rokprognozy=2048 i lp=47</v>
      </c>
      <c r="AO50" s="16" t="str">
        <f t="shared" si="8"/>
        <v>rokprognozy=2049 i lp=47</v>
      </c>
      <c r="AP50" s="16" t="str">
        <f t="shared" si="8"/>
        <v>rokprognozy=2050 i lp=47</v>
      </c>
    </row>
    <row r="51" spans="1:42" ht="24">
      <c r="A51" s="6">
        <v>48</v>
      </c>
      <c r="B51" s="17">
        <v>22</v>
      </c>
      <c r="C51" s="19" t="s">
        <v>24</v>
      </c>
      <c r="D51" s="15" t="str">
        <f t="shared" si="9"/>
        <v>rokprognozy=2012 i lp=48</v>
      </c>
      <c r="E51" s="15" t="str">
        <f t="shared" si="9"/>
        <v>rokprognozy=2013 i lp=48</v>
      </c>
      <c r="F51" s="16" t="str">
        <f t="shared" si="9"/>
        <v>rokprognozy=2014 i lp=48</v>
      </c>
      <c r="G51" s="16" t="str">
        <f t="shared" si="9"/>
        <v>rokprognozy=2015 i lp=48</v>
      </c>
      <c r="H51" s="16" t="str">
        <f t="shared" si="9"/>
        <v>rokprognozy=2016 i lp=48</v>
      </c>
      <c r="I51" s="16" t="str">
        <f t="shared" si="9"/>
        <v>rokprognozy=2017 i lp=48</v>
      </c>
      <c r="J51" s="16" t="str">
        <f t="shared" si="9"/>
        <v>rokprognozy=2018 i lp=48</v>
      </c>
      <c r="K51" s="16" t="str">
        <f t="shared" si="9"/>
        <v>rokprognozy=2019 i lp=48</v>
      </c>
      <c r="L51" s="16" t="str">
        <f t="shared" si="9"/>
        <v>rokprognozy=2020 i lp=48</v>
      </c>
      <c r="M51" s="16" t="str">
        <f t="shared" si="10"/>
        <v>rokprognozy=2021 i lp=48</v>
      </c>
      <c r="N51" s="16" t="str">
        <f t="shared" si="10"/>
        <v>rokprognozy=2022 i lp=48</v>
      </c>
      <c r="O51" s="16" t="str">
        <f t="shared" si="10"/>
        <v>rokprognozy=2023 i lp=48</v>
      </c>
      <c r="P51" s="16" t="str">
        <f t="shared" si="10"/>
        <v>rokprognozy=2024 i lp=48</v>
      </c>
      <c r="Q51" s="16" t="str">
        <f t="shared" si="10"/>
        <v>rokprognozy=2025 i lp=48</v>
      </c>
      <c r="R51" s="16" t="str">
        <f t="shared" si="10"/>
        <v>rokprognozy=2026 i lp=48</v>
      </c>
      <c r="S51" s="16" t="str">
        <f t="shared" si="10"/>
        <v>rokprognozy=2027 i lp=48</v>
      </c>
      <c r="T51" s="16" t="str">
        <f t="shared" si="10"/>
        <v>rokprognozy=2028 i lp=48</v>
      </c>
      <c r="U51" s="16" t="str">
        <f t="shared" si="10"/>
        <v>rokprognozy=2029 i lp=48</v>
      </c>
      <c r="V51" s="16" t="str">
        <f t="shared" si="10"/>
        <v>rokprognozy=2030 i lp=48</v>
      </c>
      <c r="W51" s="16" t="str">
        <f t="shared" si="10"/>
        <v>rokprognozy=2031 i lp=48</v>
      </c>
      <c r="X51" s="16" t="str">
        <f t="shared" si="10"/>
        <v>rokprognozy=2032 i lp=48</v>
      </c>
      <c r="Y51" s="16" t="str">
        <f t="shared" si="10"/>
        <v>rokprognozy=2033 i lp=48</v>
      </c>
      <c r="Z51" s="16" t="str">
        <f t="shared" si="10"/>
        <v>rokprognozy=2034 i lp=48</v>
      </c>
      <c r="AA51" s="16" t="str">
        <f t="shared" si="10"/>
        <v>rokprognozy=2035 i lp=48</v>
      </c>
      <c r="AB51" s="16" t="str">
        <f t="shared" si="10"/>
        <v>rokprognozy=2036 i lp=48</v>
      </c>
      <c r="AC51" s="16" t="str">
        <f t="shared" si="8"/>
        <v>rokprognozy=2037 i lp=48</v>
      </c>
      <c r="AD51" s="16" t="str">
        <f t="shared" si="8"/>
        <v>rokprognozy=2038 i lp=48</v>
      </c>
      <c r="AE51" s="16" t="str">
        <f t="shared" si="8"/>
        <v>rokprognozy=2039 i lp=48</v>
      </c>
      <c r="AF51" s="16" t="str">
        <f t="shared" si="8"/>
        <v>rokprognozy=2040 i lp=48</v>
      </c>
      <c r="AG51" s="16" t="str">
        <f t="shared" si="8"/>
        <v>rokprognozy=2041 i lp=48</v>
      </c>
      <c r="AH51" s="16" t="str">
        <f t="shared" si="8"/>
        <v>rokprognozy=2042 i lp=48</v>
      </c>
      <c r="AI51" s="16" t="str">
        <f t="shared" si="8"/>
        <v>rokprognozy=2043 i lp=48</v>
      </c>
      <c r="AJ51" s="16" t="str">
        <f t="shared" si="8"/>
        <v>rokprognozy=2044 i lp=48</v>
      </c>
      <c r="AK51" s="16" t="str">
        <f t="shared" si="8"/>
        <v>rokprognozy=2045 i lp=48</v>
      </c>
      <c r="AL51" s="16" t="str">
        <f t="shared" si="8"/>
        <v>rokprognozy=2046 i lp=48</v>
      </c>
      <c r="AM51" s="16" t="str">
        <f t="shared" si="8"/>
        <v>rokprognozy=2047 i lp=48</v>
      </c>
      <c r="AN51" s="16" t="str">
        <f t="shared" si="8"/>
        <v>rokprognozy=2048 i lp=48</v>
      </c>
      <c r="AO51" s="16" t="str">
        <f t="shared" ref="AH51:AP52" si="11">+"rokprognozy="&amp;AO$3&amp;" i lp="&amp;$A51</f>
        <v>rokprognozy=2049 i lp=48</v>
      </c>
      <c r="AP51" s="16" t="str">
        <f t="shared" si="11"/>
        <v>rokprognozy=2050 i lp=48</v>
      </c>
    </row>
    <row r="52" spans="1:42" ht="24">
      <c r="A52" s="6">
        <v>49</v>
      </c>
      <c r="B52" s="17" t="s">
        <v>83</v>
      </c>
      <c r="C52" s="19" t="s">
        <v>25</v>
      </c>
      <c r="D52" s="15" t="str">
        <f t="shared" si="9"/>
        <v>rokprognozy=2012 i lp=49</v>
      </c>
      <c r="E52" s="15" t="str">
        <f t="shared" si="9"/>
        <v>rokprognozy=2013 i lp=49</v>
      </c>
      <c r="F52" s="16" t="str">
        <f t="shared" si="9"/>
        <v>rokprognozy=2014 i lp=49</v>
      </c>
      <c r="G52" s="16" t="str">
        <f t="shared" si="9"/>
        <v>rokprognozy=2015 i lp=49</v>
      </c>
      <c r="H52" s="16" t="str">
        <f t="shared" si="9"/>
        <v>rokprognozy=2016 i lp=49</v>
      </c>
      <c r="I52" s="16" t="str">
        <f t="shared" si="9"/>
        <v>rokprognozy=2017 i lp=49</v>
      </c>
      <c r="J52" s="16" t="str">
        <f t="shared" si="9"/>
        <v>rokprognozy=2018 i lp=49</v>
      </c>
      <c r="K52" s="16" t="str">
        <f t="shared" si="9"/>
        <v>rokprognozy=2019 i lp=49</v>
      </c>
      <c r="L52" s="16" t="str">
        <f t="shared" si="9"/>
        <v>rokprognozy=2020 i lp=49</v>
      </c>
      <c r="M52" s="16" t="str">
        <f t="shared" si="10"/>
        <v>rokprognozy=2021 i lp=49</v>
      </c>
      <c r="N52" s="16" t="str">
        <f t="shared" si="10"/>
        <v>rokprognozy=2022 i lp=49</v>
      </c>
      <c r="O52" s="16" t="str">
        <f t="shared" si="10"/>
        <v>rokprognozy=2023 i lp=49</v>
      </c>
      <c r="P52" s="16" t="str">
        <f t="shared" si="10"/>
        <v>rokprognozy=2024 i lp=49</v>
      </c>
      <c r="Q52" s="16" t="str">
        <f t="shared" si="10"/>
        <v>rokprognozy=2025 i lp=49</v>
      </c>
      <c r="R52" s="16" t="str">
        <f t="shared" si="10"/>
        <v>rokprognozy=2026 i lp=49</v>
      </c>
      <c r="S52" s="16" t="str">
        <f t="shared" si="10"/>
        <v>rokprognozy=2027 i lp=49</v>
      </c>
      <c r="T52" s="16" t="str">
        <f t="shared" si="10"/>
        <v>rokprognozy=2028 i lp=49</v>
      </c>
      <c r="U52" s="16" t="str">
        <f t="shared" si="10"/>
        <v>rokprognozy=2029 i lp=49</v>
      </c>
      <c r="V52" s="16" t="str">
        <f t="shared" si="10"/>
        <v>rokprognozy=2030 i lp=49</v>
      </c>
      <c r="W52" s="16" t="str">
        <f t="shared" si="10"/>
        <v>rokprognozy=2031 i lp=49</v>
      </c>
      <c r="X52" s="16" t="str">
        <f t="shared" si="10"/>
        <v>rokprognozy=2032 i lp=49</v>
      </c>
      <c r="Y52" s="16" t="str">
        <f t="shared" si="10"/>
        <v>rokprognozy=2033 i lp=49</v>
      </c>
      <c r="Z52" s="16" t="str">
        <f t="shared" si="10"/>
        <v>rokprognozy=2034 i lp=49</v>
      </c>
      <c r="AA52" s="16" t="str">
        <f t="shared" si="10"/>
        <v>rokprognozy=2035 i lp=49</v>
      </c>
      <c r="AB52" s="16" t="str">
        <f t="shared" si="10"/>
        <v>rokprognozy=2036 i lp=49</v>
      </c>
      <c r="AC52" s="16" t="str">
        <f t="shared" si="8"/>
        <v>rokprognozy=2037 i lp=49</v>
      </c>
      <c r="AD52" s="16" t="str">
        <f t="shared" si="8"/>
        <v>rokprognozy=2038 i lp=49</v>
      </c>
      <c r="AE52" s="16" t="str">
        <f t="shared" si="8"/>
        <v>rokprognozy=2039 i lp=49</v>
      </c>
      <c r="AF52" s="16" t="str">
        <f t="shared" si="8"/>
        <v>rokprognozy=2040 i lp=49</v>
      </c>
      <c r="AG52" s="16" t="str">
        <f t="shared" si="8"/>
        <v>rokprognozy=2041 i lp=49</v>
      </c>
      <c r="AH52" s="16" t="str">
        <f t="shared" si="11"/>
        <v>rokprognozy=2042 i lp=49</v>
      </c>
      <c r="AI52" s="16" t="str">
        <f t="shared" si="11"/>
        <v>rokprognozy=2043 i lp=49</v>
      </c>
      <c r="AJ52" s="16" t="str">
        <f t="shared" si="11"/>
        <v>rokprognozy=2044 i lp=49</v>
      </c>
      <c r="AK52" s="16" t="str">
        <f t="shared" si="11"/>
        <v>rokprognozy=2045 i lp=49</v>
      </c>
      <c r="AL52" s="16" t="str">
        <f t="shared" si="11"/>
        <v>rokprognozy=2046 i lp=49</v>
      </c>
      <c r="AM52" s="16" t="str">
        <f t="shared" si="11"/>
        <v>rokprognozy=2047 i lp=49</v>
      </c>
      <c r="AN52" s="16" t="str">
        <f t="shared" si="11"/>
        <v>rokprognozy=2048 i lp=49</v>
      </c>
      <c r="AO52" s="16" t="str">
        <f t="shared" si="11"/>
        <v>rokprognozy=2049 i lp=49</v>
      </c>
      <c r="AP52" s="16" t="str">
        <f t="shared" si="11"/>
        <v>rokprognozy=2050 i lp=49</v>
      </c>
    </row>
    <row r="53" spans="1:42">
      <c r="A53" s="6">
        <v>50</v>
      </c>
      <c r="B53" s="17">
        <v>23</v>
      </c>
      <c r="C53" s="19" t="s">
        <v>84</v>
      </c>
      <c r="D53" s="15" t="str">
        <f t="shared" si="9"/>
        <v>rokprognozy=2012 i lp=50</v>
      </c>
      <c r="E53" s="15" t="str">
        <f t="shared" si="9"/>
        <v>rokprognozy=2013 i lp=50</v>
      </c>
      <c r="F53" s="16" t="str">
        <f t="shared" si="9"/>
        <v>rokprognozy=2014 i lp=50</v>
      </c>
      <c r="G53" s="16" t="str">
        <f t="shared" si="9"/>
        <v>rokprognozy=2015 i lp=50</v>
      </c>
      <c r="H53" s="16" t="str">
        <f t="shared" si="9"/>
        <v>rokprognozy=2016 i lp=50</v>
      </c>
      <c r="I53" s="16" t="str">
        <f t="shared" si="9"/>
        <v>rokprognozy=2017 i lp=50</v>
      </c>
      <c r="J53" s="16" t="str">
        <f t="shared" si="9"/>
        <v>rokprognozy=2018 i lp=50</v>
      </c>
      <c r="K53" s="16" t="str">
        <f t="shared" si="9"/>
        <v>rokprognozy=2019 i lp=50</v>
      </c>
      <c r="L53" s="16" t="str">
        <f t="shared" si="9"/>
        <v>rokprognozy=2020 i lp=50</v>
      </c>
      <c r="M53" s="16" t="str">
        <f t="shared" si="10"/>
        <v>rokprognozy=2021 i lp=50</v>
      </c>
      <c r="N53" s="16" t="str">
        <f t="shared" si="10"/>
        <v>rokprognozy=2022 i lp=50</v>
      </c>
      <c r="O53" s="16" t="str">
        <f t="shared" si="10"/>
        <v>rokprognozy=2023 i lp=50</v>
      </c>
      <c r="P53" s="16" t="str">
        <f t="shared" si="10"/>
        <v>rokprognozy=2024 i lp=50</v>
      </c>
      <c r="Q53" s="16" t="str">
        <f t="shared" si="10"/>
        <v>rokprognozy=2025 i lp=50</v>
      </c>
      <c r="R53" s="16" t="str">
        <f t="shared" si="10"/>
        <v>rokprognozy=2026 i lp=50</v>
      </c>
      <c r="S53" s="16" t="str">
        <f t="shared" si="10"/>
        <v>rokprognozy=2027 i lp=50</v>
      </c>
      <c r="T53" s="16" t="str">
        <f t="shared" si="10"/>
        <v>rokprognozy=2028 i lp=50</v>
      </c>
      <c r="U53" s="16" t="str">
        <f t="shared" si="10"/>
        <v>rokprognozy=2029 i lp=50</v>
      </c>
      <c r="V53" s="16" t="str">
        <f t="shared" si="10"/>
        <v>rokprognozy=2030 i lp=50</v>
      </c>
      <c r="W53" s="16" t="str">
        <f t="shared" si="10"/>
        <v>rokprognozy=2031 i lp=50</v>
      </c>
      <c r="X53" s="16" t="str">
        <f t="shared" si="10"/>
        <v>rokprognozy=2032 i lp=50</v>
      </c>
      <c r="Y53" s="16" t="str">
        <f t="shared" si="10"/>
        <v>rokprognozy=2033 i lp=50</v>
      </c>
      <c r="Z53" s="16" t="str">
        <f t="shared" si="10"/>
        <v>rokprognozy=2034 i lp=50</v>
      </c>
      <c r="AA53" s="16" t="str">
        <f t="shared" si="10"/>
        <v>rokprognozy=2035 i lp=50</v>
      </c>
      <c r="AB53" s="16" t="str">
        <f t="shared" si="10"/>
        <v>rokprognozy=2036 i lp=50</v>
      </c>
      <c r="AC53" s="16" t="str">
        <f t="shared" ref="AC53:AP60" si="12">+"rokprognozy="&amp;AC$3&amp;" i lp="&amp;$A53</f>
        <v>rokprognozy=2037 i lp=50</v>
      </c>
      <c r="AD53" s="16" t="str">
        <f t="shared" si="12"/>
        <v>rokprognozy=2038 i lp=50</v>
      </c>
      <c r="AE53" s="16" t="str">
        <f t="shared" si="12"/>
        <v>rokprognozy=2039 i lp=50</v>
      </c>
      <c r="AF53" s="16" t="str">
        <f t="shared" si="12"/>
        <v>rokprognozy=2040 i lp=50</v>
      </c>
      <c r="AG53" s="16" t="str">
        <f t="shared" si="12"/>
        <v>rokprognozy=2041 i lp=50</v>
      </c>
      <c r="AH53" s="16" t="str">
        <f t="shared" si="12"/>
        <v>rokprognozy=2042 i lp=50</v>
      </c>
      <c r="AI53" s="16" t="str">
        <f t="shared" si="12"/>
        <v>rokprognozy=2043 i lp=50</v>
      </c>
      <c r="AJ53" s="16" t="str">
        <f t="shared" si="12"/>
        <v>rokprognozy=2044 i lp=50</v>
      </c>
      <c r="AK53" s="16" t="str">
        <f t="shared" si="12"/>
        <v>rokprognozy=2045 i lp=50</v>
      </c>
      <c r="AL53" s="16" t="str">
        <f t="shared" si="12"/>
        <v>rokprognozy=2046 i lp=50</v>
      </c>
      <c r="AM53" s="16" t="str">
        <f t="shared" si="12"/>
        <v>rokprognozy=2047 i lp=50</v>
      </c>
      <c r="AN53" s="16" t="str">
        <f t="shared" si="12"/>
        <v>rokprognozy=2048 i lp=50</v>
      </c>
      <c r="AO53" s="16" t="str">
        <f t="shared" si="12"/>
        <v>rokprognozy=2049 i lp=50</v>
      </c>
      <c r="AP53" s="16" t="str">
        <f t="shared" si="12"/>
        <v>rokprognozy=2050 i lp=50</v>
      </c>
    </row>
    <row r="54" spans="1:42">
      <c r="A54" s="6">
        <v>51</v>
      </c>
      <c r="B54" s="17">
        <v>24</v>
      </c>
      <c r="C54" s="19" t="s">
        <v>85</v>
      </c>
      <c r="D54" s="15" t="str">
        <f t="shared" si="9"/>
        <v>rokprognozy=2012 i lp=51</v>
      </c>
      <c r="E54" s="15" t="str">
        <f t="shared" si="9"/>
        <v>rokprognozy=2013 i lp=51</v>
      </c>
      <c r="F54" s="16" t="str">
        <f t="shared" si="9"/>
        <v>rokprognozy=2014 i lp=51</v>
      </c>
      <c r="G54" s="16" t="str">
        <f t="shared" si="9"/>
        <v>rokprognozy=2015 i lp=51</v>
      </c>
      <c r="H54" s="16" t="str">
        <f t="shared" si="9"/>
        <v>rokprognozy=2016 i lp=51</v>
      </c>
      <c r="I54" s="16" t="str">
        <f t="shared" si="9"/>
        <v>rokprognozy=2017 i lp=51</v>
      </c>
      <c r="J54" s="16" t="str">
        <f t="shared" si="9"/>
        <v>rokprognozy=2018 i lp=51</v>
      </c>
      <c r="K54" s="16" t="str">
        <f t="shared" si="9"/>
        <v>rokprognozy=2019 i lp=51</v>
      </c>
      <c r="L54" s="16" t="str">
        <f t="shared" si="9"/>
        <v>rokprognozy=2020 i lp=51</v>
      </c>
      <c r="M54" s="16" t="str">
        <f t="shared" si="10"/>
        <v>rokprognozy=2021 i lp=51</v>
      </c>
      <c r="N54" s="16" t="str">
        <f t="shared" si="10"/>
        <v>rokprognozy=2022 i lp=51</v>
      </c>
      <c r="O54" s="16" t="str">
        <f t="shared" si="10"/>
        <v>rokprognozy=2023 i lp=51</v>
      </c>
      <c r="P54" s="16" t="str">
        <f t="shared" si="10"/>
        <v>rokprognozy=2024 i lp=51</v>
      </c>
      <c r="Q54" s="16" t="str">
        <f t="shared" si="10"/>
        <v>rokprognozy=2025 i lp=51</v>
      </c>
      <c r="R54" s="16" t="str">
        <f t="shared" si="10"/>
        <v>rokprognozy=2026 i lp=51</v>
      </c>
      <c r="S54" s="16" t="str">
        <f t="shared" si="10"/>
        <v>rokprognozy=2027 i lp=51</v>
      </c>
      <c r="T54" s="16" t="str">
        <f t="shared" si="10"/>
        <v>rokprognozy=2028 i lp=51</v>
      </c>
      <c r="U54" s="16" t="str">
        <f t="shared" si="10"/>
        <v>rokprognozy=2029 i lp=51</v>
      </c>
      <c r="V54" s="16" t="str">
        <f t="shared" si="10"/>
        <v>rokprognozy=2030 i lp=51</v>
      </c>
      <c r="W54" s="16" t="str">
        <f t="shared" si="10"/>
        <v>rokprognozy=2031 i lp=51</v>
      </c>
      <c r="X54" s="16" t="str">
        <f t="shared" si="10"/>
        <v>rokprognozy=2032 i lp=51</v>
      </c>
      <c r="Y54" s="16" t="str">
        <f t="shared" si="10"/>
        <v>rokprognozy=2033 i lp=51</v>
      </c>
      <c r="Z54" s="16" t="str">
        <f t="shared" si="10"/>
        <v>rokprognozy=2034 i lp=51</v>
      </c>
      <c r="AA54" s="16" t="str">
        <f t="shared" si="10"/>
        <v>rokprognozy=2035 i lp=51</v>
      </c>
      <c r="AB54" s="16" t="str">
        <f t="shared" si="10"/>
        <v>rokprognozy=2036 i lp=51</v>
      </c>
      <c r="AC54" s="16" t="str">
        <f t="shared" si="12"/>
        <v>rokprognozy=2037 i lp=51</v>
      </c>
      <c r="AD54" s="16" t="str">
        <f t="shared" si="12"/>
        <v>rokprognozy=2038 i lp=51</v>
      </c>
      <c r="AE54" s="16" t="str">
        <f t="shared" si="12"/>
        <v>rokprognozy=2039 i lp=51</v>
      </c>
      <c r="AF54" s="16" t="str">
        <f t="shared" si="12"/>
        <v>rokprognozy=2040 i lp=51</v>
      </c>
      <c r="AG54" s="16" t="str">
        <f t="shared" si="12"/>
        <v>rokprognozy=2041 i lp=51</v>
      </c>
      <c r="AH54" s="16" t="str">
        <f t="shared" si="12"/>
        <v>rokprognozy=2042 i lp=51</v>
      </c>
      <c r="AI54" s="16" t="str">
        <f t="shared" si="12"/>
        <v>rokprognozy=2043 i lp=51</v>
      </c>
      <c r="AJ54" s="16" t="str">
        <f t="shared" si="12"/>
        <v>rokprognozy=2044 i lp=51</v>
      </c>
      <c r="AK54" s="16" t="str">
        <f t="shared" si="12"/>
        <v>rokprognozy=2045 i lp=51</v>
      </c>
      <c r="AL54" s="16" t="str">
        <f t="shared" si="12"/>
        <v>rokprognozy=2046 i lp=51</v>
      </c>
      <c r="AM54" s="16" t="str">
        <f t="shared" si="12"/>
        <v>rokprognozy=2047 i lp=51</v>
      </c>
      <c r="AN54" s="16" t="str">
        <f t="shared" si="12"/>
        <v>rokprognozy=2048 i lp=51</v>
      </c>
      <c r="AO54" s="16" t="str">
        <f t="shared" si="12"/>
        <v>rokprognozy=2049 i lp=51</v>
      </c>
      <c r="AP54" s="16" t="str">
        <f t="shared" si="12"/>
        <v>rokprognozy=2050 i lp=51</v>
      </c>
    </row>
    <row r="55" spans="1:42">
      <c r="A55" s="6">
        <v>52</v>
      </c>
      <c r="B55" s="17">
        <v>25</v>
      </c>
      <c r="C55" s="19" t="s">
        <v>11</v>
      </c>
      <c r="D55" s="15" t="str">
        <f t="shared" si="9"/>
        <v>rokprognozy=2012 i lp=52</v>
      </c>
      <c r="E55" s="15" t="str">
        <f t="shared" si="9"/>
        <v>rokprognozy=2013 i lp=52</v>
      </c>
      <c r="F55" s="16" t="str">
        <f t="shared" si="9"/>
        <v>rokprognozy=2014 i lp=52</v>
      </c>
      <c r="G55" s="16" t="str">
        <f t="shared" si="9"/>
        <v>rokprognozy=2015 i lp=52</v>
      </c>
      <c r="H55" s="16" t="str">
        <f t="shared" si="9"/>
        <v>rokprognozy=2016 i lp=52</v>
      </c>
      <c r="I55" s="16" t="str">
        <f t="shared" si="9"/>
        <v>rokprognozy=2017 i lp=52</v>
      </c>
      <c r="J55" s="16" t="str">
        <f t="shared" si="9"/>
        <v>rokprognozy=2018 i lp=52</v>
      </c>
      <c r="K55" s="16" t="str">
        <f t="shared" si="9"/>
        <v>rokprognozy=2019 i lp=52</v>
      </c>
      <c r="L55" s="16" t="str">
        <f t="shared" si="9"/>
        <v>rokprognozy=2020 i lp=52</v>
      </c>
      <c r="M55" s="16" t="str">
        <f t="shared" si="10"/>
        <v>rokprognozy=2021 i lp=52</v>
      </c>
      <c r="N55" s="16" t="str">
        <f t="shared" si="10"/>
        <v>rokprognozy=2022 i lp=52</v>
      </c>
      <c r="O55" s="16" t="str">
        <f t="shared" si="10"/>
        <v>rokprognozy=2023 i lp=52</v>
      </c>
      <c r="P55" s="16" t="str">
        <f t="shared" si="10"/>
        <v>rokprognozy=2024 i lp=52</v>
      </c>
      <c r="Q55" s="16" t="str">
        <f t="shared" si="10"/>
        <v>rokprognozy=2025 i lp=52</v>
      </c>
      <c r="R55" s="16" t="str">
        <f t="shared" si="10"/>
        <v>rokprognozy=2026 i lp=52</v>
      </c>
      <c r="S55" s="16" t="str">
        <f t="shared" si="10"/>
        <v>rokprognozy=2027 i lp=52</v>
      </c>
      <c r="T55" s="16" t="str">
        <f t="shared" si="10"/>
        <v>rokprognozy=2028 i lp=52</v>
      </c>
      <c r="U55" s="16" t="str">
        <f t="shared" si="10"/>
        <v>rokprognozy=2029 i lp=52</v>
      </c>
      <c r="V55" s="16" t="str">
        <f t="shared" si="10"/>
        <v>rokprognozy=2030 i lp=52</v>
      </c>
      <c r="W55" s="16" t="str">
        <f t="shared" si="10"/>
        <v>rokprognozy=2031 i lp=52</v>
      </c>
      <c r="X55" s="16" t="str">
        <f t="shared" si="10"/>
        <v>rokprognozy=2032 i lp=52</v>
      </c>
      <c r="Y55" s="16" t="str">
        <f t="shared" si="10"/>
        <v>rokprognozy=2033 i lp=52</v>
      </c>
      <c r="Z55" s="16" t="str">
        <f t="shared" si="10"/>
        <v>rokprognozy=2034 i lp=52</v>
      </c>
      <c r="AA55" s="16" t="str">
        <f t="shared" si="10"/>
        <v>rokprognozy=2035 i lp=52</v>
      </c>
      <c r="AB55" s="16" t="str">
        <f t="shared" si="10"/>
        <v>rokprognozy=2036 i lp=52</v>
      </c>
      <c r="AC55" s="16" t="str">
        <f t="shared" si="12"/>
        <v>rokprognozy=2037 i lp=52</v>
      </c>
      <c r="AD55" s="16" t="str">
        <f t="shared" si="12"/>
        <v>rokprognozy=2038 i lp=52</v>
      </c>
      <c r="AE55" s="16" t="str">
        <f t="shared" si="12"/>
        <v>rokprognozy=2039 i lp=52</v>
      </c>
      <c r="AF55" s="16" t="str">
        <f t="shared" si="12"/>
        <v>rokprognozy=2040 i lp=52</v>
      </c>
      <c r="AG55" s="16" t="str">
        <f t="shared" si="12"/>
        <v>rokprognozy=2041 i lp=52</v>
      </c>
      <c r="AH55" s="16" t="str">
        <f t="shared" si="12"/>
        <v>rokprognozy=2042 i lp=52</v>
      </c>
      <c r="AI55" s="16" t="str">
        <f t="shared" si="12"/>
        <v>rokprognozy=2043 i lp=52</v>
      </c>
      <c r="AJ55" s="16" t="str">
        <f t="shared" si="12"/>
        <v>rokprognozy=2044 i lp=52</v>
      </c>
      <c r="AK55" s="16" t="str">
        <f t="shared" si="12"/>
        <v>rokprognozy=2045 i lp=52</v>
      </c>
      <c r="AL55" s="16" t="str">
        <f t="shared" si="12"/>
        <v>rokprognozy=2046 i lp=52</v>
      </c>
      <c r="AM55" s="16" t="str">
        <f t="shared" si="12"/>
        <v>rokprognozy=2047 i lp=52</v>
      </c>
      <c r="AN55" s="16" t="str">
        <f t="shared" si="12"/>
        <v>rokprognozy=2048 i lp=52</v>
      </c>
      <c r="AO55" s="16" t="str">
        <f t="shared" si="12"/>
        <v>rokprognozy=2049 i lp=52</v>
      </c>
      <c r="AP55" s="16" t="str">
        <f t="shared" si="12"/>
        <v>rokprognozy=2050 i lp=52</v>
      </c>
    </row>
    <row r="56" spans="1:42">
      <c r="A56" s="6">
        <v>53</v>
      </c>
      <c r="B56" s="17">
        <v>26</v>
      </c>
      <c r="C56" s="19" t="s">
        <v>86</v>
      </c>
      <c r="D56" s="15" t="str">
        <f t="shared" si="9"/>
        <v>rokprognozy=2012 i lp=53</v>
      </c>
      <c r="E56" s="15" t="str">
        <f t="shared" si="9"/>
        <v>rokprognozy=2013 i lp=53</v>
      </c>
      <c r="F56" s="16" t="str">
        <f t="shared" si="9"/>
        <v>rokprognozy=2014 i lp=53</v>
      </c>
      <c r="G56" s="16" t="str">
        <f t="shared" si="9"/>
        <v>rokprognozy=2015 i lp=53</v>
      </c>
      <c r="H56" s="16" t="str">
        <f t="shared" si="9"/>
        <v>rokprognozy=2016 i lp=53</v>
      </c>
      <c r="I56" s="16" t="str">
        <f t="shared" si="9"/>
        <v>rokprognozy=2017 i lp=53</v>
      </c>
      <c r="J56" s="16" t="str">
        <f t="shared" si="9"/>
        <v>rokprognozy=2018 i lp=53</v>
      </c>
      <c r="K56" s="16" t="str">
        <f t="shared" si="9"/>
        <v>rokprognozy=2019 i lp=53</v>
      </c>
      <c r="L56" s="16" t="str">
        <f t="shared" si="9"/>
        <v>rokprognozy=2020 i lp=53</v>
      </c>
      <c r="M56" s="16" t="str">
        <f t="shared" si="10"/>
        <v>rokprognozy=2021 i lp=53</v>
      </c>
      <c r="N56" s="16" t="str">
        <f t="shared" si="10"/>
        <v>rokprognozy=2022 i lp=53</v>
      </c>
      <c r="O56" s="16" t="str">
        <f t="shared" si="10"/>
        <v>rokprognozy=2023 i lp=53</v>
      </c>
      <c r="P56" s="16" t="str">
        <f t="shared" si="10"/>
        <v>rokprognozy=2024 i lp=53</v>
      </c>
      <c r="Q56" s="16" t="str">
        <f t="shared" si="10"/>
        <v>rokprognozy=2025 i lp=53</v>
      </c>
      <c r="R56" s="16" t="str">
        <f t="shared" si="10"/>
        <v>rokprognozy=2026 i lp=53</v>
      </c>
      <c r="S56" s="16" t="str">
        <f t="shared" si="10"/>
        <v>rokprognozy=2027 i lp=53</v>
      </c>
      <c r="T56" s="16" t="str">
        <f t="shared" si="10"/>
        <v>rokprognozy=2028 i lp=53</v>
      </c>
      <c r="U56" s="16" t="str">
        <f t="shared" si="10"/>
        <v>rokprognozy=2029 i lp=53</v>
      </c>
      <c r="V56" s="16" t="str">
        <f t="shared" si="10"/>
        <v>rokprognozy=2030 i lp=53</v>
      </c>
      <c r="W56" s="16" t="str">
        <f t="shared" si="10"/>
        <v>rokprognozy=2031 i lp=53</v>
      </c>
      <c r="X56" s="16" t="str">
        <f t="shared" si="10"/>
        <v>rokprognozy=2032 i lp=53</v>
      </c>
      <c r="Y56" s="16" t="str">
        <f t="shared" si="10"/>
        <v>rokprognozy=2033 i lp=53</v>
      </c>
      <c r="Z56" s="16" t="str">
        <f t="shared" si="10"/>
        <v>rokprognozy=2034 i lp=53</v>
      </c>
      <c r="AA56" s="16" t="str">
        <f t="shared" si="10"/>
        <v>rokprognozy=2035 i lp=53</v>
      </c>
      <c r="AB56" s="16" t="str">
        <f t="shared" si="10"/>
        <v>rokprognozy=2036 i lp=53</v>
      </c>
      <c r="AC56" s="16" t="str">
        <f t="shared" si="12"/>
        <v>rokprognozy=2037 i lp=53</v>
      </c>
      <c r="AD56" s="16" t="str">
        <f t="shared" si="12"/>
        <v>rokprognozy=2038 i lp=53</v>
      </c>
      <c r="AE56" s="16" t="str">
        <f t="shared" si="12"/>
        <v>rokprognozy=2039 i lp=53</v>
      </c>
      <c r="AF56" s="16" t="str">
        <f t="shared" si="12"/>
        <v>rokprognozy=2040 i lp=53</v>
      </c>
      <c r="AG56" s="16" t="str">
        <f t="shared" si="12"/>
        <v>rokprognozy=2041 i lp=53</v>
      </c>
      <c r="AH56" s="16" t="str">
        <f t="shared" si="12"/>
        <v>rokprognozy=2042 i lp=53</v>
      </c>
      <c r="AI56" s="16" t="str">
        <f t="shared" si="12"/>
        <v>rokprognozy=2043 i lp=53</v>
      </c>
      <c r="AJ56" s="16" t="str">
        <f t="shared" si="12"/>
        <v>rokprognozy=2044 i lp=53</v>
      </c>
      <c r="AK56" s="16" t="str">
        <f t="shared" si="12"/>
        <v>rokprognozy=2045 i lp=53</v>
      </c>
      <c r="AL56" s="16" t="str">
        <f t="shared" si="12"/>
        <v>rokprognozy=2046 i lp=53</v>
      </c>
      <c r="AM56" s="16" t="str">
        <f t="shared" si="12"/>
        <v>rokprognozy=2047 i lp=53</v>
      </c>
      <c r="AN56" s="16" t="str">
        <f t="shared" si="12"/>
        <v>rokprognozy=2048 i lp=53</v>
      </c>
      <c r="AO56" s="16" t="str">
        <f t="shared" si="12"/>
        <v>rokprognozy=2049 i lp=53</v>
      </c>
      <c r="AP56" s="16" t="str">
        <f t="shared" si="12"/>
        <v>rokprognozy=2050 i lp=53</v>
      </c>
    </row>
    <row r="57" spans="1:42">
      <c r="A57" s="6">
        <v>54</v>
      </c>
      <c r="B57" s="17">
        <v>27</v>
      </c>
      <c r="C57" s="19" t="s">
        <v>9</v>
      </c>
      <c r="D57" s="15" t="str">
        <f t="shared" si="9"/>
        <v>rokprognozy=2012 i lp=54</v>
      </c>
      <c r="E57" s="15" t="str">
        <f t="shared" si="9"/>
        <v>rokprognozy=2013 i lp=54</v>
      </c>
      <c r="F57" s="16" t="str">
        <f t="shared" si="9"/>
        <v>rokprognozy=2014 i lp=54</v>
      </c>
      <c r="G57" s="16" t="str">
        <f t="shared" si="9"/>
        <v>rokprognozy=2015 i lp=54</v>
      </c>
      <c r="H57" s="16" t="str">
        <f t="shared" si="9"/>
        <v>rokprognozy=2016 i lp=54</v>
      </c>
      <c r="I57" s="16" t="str">
        <f t="shared" si="9"/>
        <v>rokprognozy=2017 i lp=54</v>
      </c>
      <c r="J57" s="16" t="str">
        <f t="shared" si="9"/>
        <v>rokprognozy=2018 i lp=54</v>
      </c>
      <c r="K57" s="16" t="str">
        <f t="shared" si="9"/>
        <v>rokprognozy=2019 i lp=54</v>
      </c>
      <c r="L57" s="16" t="str">
        <f t="shared" si="9"/>
        <v>rokprognozy=2020 i lp=54</v>
      </c>
      <c r="M57" s="16" t="str">
        <f t="shared" si="10"/>
        <v>rokprognozy=2021 i lp=54</v>
      </c>
      <c r="N57" s="16" t="str">
        <f t="shared" si="10"/>
        <v>rokprognozy=2022 i lp=54</v>
      </c>
      <c r="O57" s="16" t="str">
        <f t="shared" si="10"/>
        <v>rokprognozy=2023 i lp=54</v>
      </c>
      <c r="P57" s="16" t="str">
        <f t="shared" si="10"/>
        <v>rokprognozy=2024 i lp=54</v>
      </c>
      <c r="Q57" s="16" t="str">
        <f t="shared" si="10"/>
        <v>rokprognozy=2025 i lp=54</v>
      </c>
      <c r="R57" s="16" t="str">
        <f t="shared" si="10"/>
        <v>rokprognozy=2026 i lp=54</v>
      </c>
      <c r="S57" s="16" t="str">
        <f t="shared" si="10"/>
        <v>rokprognozy=2027 i lp=54</v>
      </c>
      <c r="T57" s="16" t="str">
        <f t="shared" si="10"/>
        <v>rokprognozy=2028 i lp=54</v>
      </c>
      <c r="U57" s="16" t="str">
        <f t="shared" si="10"/>
        <v>rokprognozy=2029 i lp=54</v>
      </c>
      <c r="V57" s="16" t="str">
        <f t="shared" si="10"/>
        <v>rokprognozy=2030 i lp=54</v>
      </c>
      <c r="W57" s="16" t="str">
        <f t="shared" si="10"/>
        <v>rokprognozy=2031 i lp=54</v>
      </c>
      <c r="X57" s="16" t="str">
        <f t="shared" si="10"/>
        <v>rokprognozy=2032 i lp=54</v>
      </c>
      <c r="Y57" s="16" t="str">
        <f t="shared" si="10"/>
        <v>rokprognozy=2033 i lp=54</v>
      </c>
      <c r="Z57" s="16" t="str">
        <f t="shared" si="10"/>
        <v>rokprognozy=2034 i lp=54</v>
      </c>
      <c r="AA57" s="16" t="str">
        <f t="shared" si="10"/>
        <v>rokprognozy=2035 i lp=54</v>
      </c>
      <c r="AB57" s="16" t="str">
        <f t="shared" si="10"/>
        <v>rokprognozy=2036 i lp=54</v>
      </c>
      <c r="AC57" s="16" t="str">
        <f t="shared" si="12"/>
        <v>rokprognozy=2037 i lp=54</v>
      </c>
      <c r="AD57" s="16" t="str">
        <f t="shared" si="12"/>
        <v>rokprognozy=2038 i lp=54</v>
      </c>
      <c r="AE57" s="16" t="str">
        <f t="shared" si="12"/>
        <v>rokprognozy=2039 i lp=54</v>
      </c>
      <c r="AF57" s="16" t="str">
        <f t="shared" si="12"/>
        <v>rokprognozy=2040 i lp=54</v>
      </c>
      <c r="AG57" s="16" t="str">
        <f t="shared" si="12"/>
        <v>rokprognozy=2041 i lp=54</v>
      </c>
      <c r="AH57" s="16" t="str">
        <f t="shared" si="12"/>
        <v>rokprognozy=2042 i lp=54</v>
      </c>
      <c r="AI57" s="16" t="str">
        <f t="shared" si="12"/>
        <v>rokprognozy=2043 i lp=54</v>
      </c>
      <c r="AJ57" s="16" t="str">
        <f t="shared" si="12"/>
        <v>rokprognozy=2044 i lp=54</v>
      </c>
      <c r="AK57" s="16" t="str">
        <f t="shared" si="12"/>
        <v>rokprognozy=2045 i lp=54</v>
      </c>
      <c r="AL57" s="16" t="str">
        <f t="shared" si="12"/>
        <v>rokprognozy=2046 i lp=54</v>
      </c>
      <c r="AM57" s="16" t="str">
        <f t="shared" si="12"/>
        <v>rokprognozy=2047 i lp=54</v>
      </c>
      <c r="AN57" s="16" t="str">
        <f t="shared" si="12"/>
        <v>rokprognozy=2048 i lp=54</v>
      </c>
      <c r="AO57" s="16" t="str">
        <f t="shared" si="12"/>
        <v>rokprognozy=2049 i lp=54</v>
      </c>
      <c r="AP57" s="16" t="str">
        <f t="shared" si="12"/>
        <v>rokprognozy=2050 i lp=54</v>
      </c>
    </row>
    <row r="58" spans="1:42">
      <c r="A58" s="6">
        <v>55</v>
      </c>
      <c r="B58" s="17">
        <v>28</v>
      </c>
      <c r="C58" s="19" t="s">
        <v>10</v>
      </c>
      <c r="D58" s="15" t="str">
        <f t="shared" si="9"/>
        <v>rokprognozy=2012 i lp=55</v>
      </c>
      <c r="E58" s="15" t="str">
        <f t="shared" si="9"/>
        <v>rokprognozy=2013 i lp=55</v>
      </c>
      <c r="F58" s="16" t="str">
        <f t="shared" si="9"/>
        <v>rokprognozy=2014 i lp=55</v>
      </c>
      <c r="G58" s="16" t="str">
        <f t="shared" si="9"/>
        <v>rokprognozy=2015 i lp=55</v>
      </c>
      <c r="H58" s="16" t="str">
        <f t="shared" si="9"/>
        <v>rokprognozy=2016 i lp=55</v>
      </c>
      <c r="I58" s="16" t="str">
        <f t="shared" si="9"/>
        <v>rokprognozy=2017 i lp=55</v>
      </c>
      <c r="J58" s="16" t="str">
        <f t="shared" si="9"/>
        <v>rokprognozy=2018 i lp=55</v>
      </c>
      <c r="K58" s="16" t="str">
        <f t="shared" si="9"/>
        <v>rokprognozy=2019 i lp=55</v>
      </c>
      <c r="L58" s="16" t="str">
        <f t="shared" si="9"/>
        <v>rokprognozy=2020 i lp=55</v>
      </c>
      <c r="M58" s="16" t="str">
        <f t="shared" si="10"/>
        <v>rokprognozy=2021 i lp=55</v>
      </c>
      <c r="N58" s="16" t="str">
        <f t="shared" si="10"/>
        <v>rokprognozy=2022 i lp=55</v>
      </c>
      <c r="O58" s="16" t="str">
        <f t="shared" si="10"/>
        <v>rokprognozy=2023 i lp=55</v>
      </c>
      <c r="P58" s="16" t="str">
        <f t="shared" si="10"/>
        <v>rokprognozy=2024 i lp=55</v>
      </c>
      <c r="Q58" s="16" t="str">
        <f t="shared" si="10"/>
        <v>rokprognozy=2025 i lp=55</v>
      </c>
      <c r="R58" s="16" t="str">
        <f t="shared" si="10"/>
        <v>rokprognozy=2026 i lp=55</v>
      </c>
      <c r="S58" s="16" t="str">
        <f t="shared" si="10"/>
        <v>rokprognozy=2027 i lp=55</v>
      </c>
      <c r="T58" s="16" t="str">
        <f t="shared" si="10"/>
        <v>rokprognozy=2028 i lp=55</v>
      </c>
      <c r="U58" s="16" t="str">
        <f t="shared" si="10"/>
        <v>rokprognozy=2029 i lp=55</v>
      </c>
      <c r="V58" s="16" t="str">
        <f t="shared" si="10"/>
        <v>rokprognozy=2030 i lp=55</v>
      </c>
      <c r="W58" s="16" t="str">
        <f t="shared" si="10"/>
        <v>rokprognozy=2031 i lp=55</v>
      </c>
      <c r="X58" s="16" t="str">
        <f t="shared" si="10"/>
        <v>rokprognozy=2032 i lp=55</v>
      </c>
      <c r="Y58" s="16" t="str">
        <f t="shared" si="10"/>
        <v>rokprognozy=2033 i lp=55</v>
      </c>
      <c r="Z58" s="16" t="str">
        <f t="shared" si="10"/>
        <v>rokprognozy=2034 i lp=55</v>
      </c>
      <c r="AA58" s="16" t="str">
        <f t="shared" si="10"/>
        <v>rokprognozy=2035 i lp=55</v>
      </c>
      <c r="AB58" s="16" t="str">
        <f t="shared" si="10"/>
        <v>rokprognozy=2036 i lp=55</v>
      </c>
      <c r="AC58" s="16" t="str">
        <f t="shared" si="12"/>
        <v>rokprognozy=2037 i lp=55</v>
      </c>
      <c r="AD58" s="16" t="str">
        <f t="shared" si="12"/>
        <v>rokprognozy=2038 i lp=55</v>
      </c>
      <c r="AE58" s="16" t="str">
        <f t="shared" si="12"/>
        <v>rokprognozy=2039 i lp=55</v>
      </c>
      <c r="AF58" s="16" t="str">
        <f t="shared" si="12"/>
        <v>rokprognozy=2040 i lp=55</v>
      </c>
      <c r="AG58" s="16" t="str">
        <f t="shared" si="12"/>
        <v>rokprognozy=2041 i lp=55</v>
      </c>
      <c r="AH58" s="16" t="str">
        <f t="shared" si="12"/>
        <v>rokprognozy=2042 i lp=55</v>
      </c>
      <c r="AI58" s="16" t="str">
        <f t="shared" si="12"/>
        <v>rokprognozy=2043 i lp=55</v>
      </c>
      <c r="AJ58" s="16" t="str">
        <f t="shared" si="12"/>
        <v>rokprognozy=2044 i lp=55</v>
      </c>
      <c r="AK58" s="16" t="str">
        <f t="shared" si="12"/>
        <v>rokprognozy=2045 i lp=55</v>
      </c>
      <c r="AL58" s="16" t="str">
        <f t="shared" si="12"/>
        <v>rokprognozy=2046 i lp=55</v>
      </c>
      <c r="AM58" s="16" t="str">
        <f t="shared" si="12"/>
        <v>rokprognozy=2047 i lp=55</v>
      </c>
      <c r="AN58" s="16" t="str">
        <f t="shared" si="12"/>
        <v>rokprognozy=2048 i lp=55</v>
      </c>
      <c r="AO58" s="16" t="str">
        <f t="shared" si="12"/>
        <v>rokprognozy=2049 i lp=55</v>
      </c>
      <c r="AP58" s="16" t="str">
        <f t="shared" si="12"/>
        <v>rokprognozy=2050 i lp=55</v>
      </c>
    </row>
    <row r="59" spans="1:42">
      <c r="A59" s="6">
        <v>56</v>
      </c>
      <c r="B59" s="17">
        <v>29</v>
      </c>
      <c r="C59" s="19" t="s">
        <v>87</v>
      </c>
      <c r="D59" s="15" t="str">
        <f t="shared" si="9"/>
        <v>rokprognozy=2012 i lp=56</v>
      </c>
      <c r="E59" s="15" t="str">
        <f t="shared" si="9"/>
        <v>rokprognozy=2013 i lp=56</v>
      </c>
      <c r="F59" s="16" t="str">
        <f t="shared" si="9"/>
        <v>rokprognozy=2014 i lp=56</v>
      </c>
      <c r="G59" s="16" t="str">
        <f t="shared" si="9"/>
        <v>rokprognozy=2015 i lp=56</v>
      </c>
      <c r="H59" s="16" t="str">
        <f t="shared" si="9"/>
        <v>rokprognozy=2016 i lp=56</v>
      </c>
      <c r="I59" s="16" t="str">
        <f t="shared" si="9"/>
        <v>rokprognozy=2017 i lp=56</v>
      </c>
      <c r="J59" s="16" t="str">
        <f t="shared" si="9"/>
        <v>rokprognozy=2018 i lp=56</v>
      </c>
      <c r="K59" s="16" t="str">
        <f t="shared" si="9"/>
        <v>rokprognozy=2019 i lp=56</v>
      </c>
      <c r="L59" s="16" t="str">
        <f t="shared" si="9"/>
        <v>rokprognozy=2020 i lp=56</v>
      </c>
      <c r="M59" s="16" t="str">
        <f t="shared" si="10"/>
        <v>rokprognozy=2021 i lp=56</v>
      </c>
      <c r="N59" s="16" t="str">
        <f t="shared" si="10"/>
        <v>rokprognozy=2022 i lp=56</v>
      </c>
      <c r="O59" s="16" t="str">
        <f t="shared" si="10"/>
        <v>rokprognozy=2023 i lp=56</v>
      </c>
      <c r="P59" s="16" t="str">
        <f t="shared" si="10"/>
        <v>rokprognozy=2024 i lp=56</v>
      </c>
      <c r="Q59" s="16" t="str">
        <f t="shared" si="10"/>
        <v>rokprognozy=2025 i lp=56</v>
      </c>
      <c r="R59" s="16" t="str">
        <f t="shared" si="10"/>
        <v>rokprognozy=2026 i lp=56</v>
      </c>
      <c r="S59" s="16" t="str">
        <f t="shared" si="10"/>
        <v>rokprognozy=2027 i lp=56</v>
      </c>
      <c r="T59" s="16" t="str">
        <f t="shared" si="10"/>
        <v>rokprognozy=2028 i lp=56</v>
      </c>
      <c r="U59" s="16" t="str">
        <f t="shared" si="10"/>
        <v>rokprognozy=2029 i lp=56</v>
      </c>
      <c r="V59" s="16" t="str">
        <f t="shared" si="10"/>
        <v>rokprognozy=2030 i lp=56</v>
      </c>
      <c r="W59" s="16" t="str">
        <f t="shared" si="10"/>
        <v>rokprognozy=2031 i lp=56</v>
      </c>
      <c r="X59" s="16" t="str">
        <f t="shared" si="10"/>
        <v>rokprognozy=2032 i lp=56</v>
      </c>
      <c r="Y59" s="16" t="str">
        <f t="shared" si="10"/>
        <v>rokprognozy=2033 i lp=56</v>
      </c>
      <c r="Z59" s="16" t="str">
        <f t="shared" si="10"/>
        <v>rokprognozy=2034 i lp=56</v>
      </c>
      <c r="AA59" s="16" t="str">
        <f t="shared" si="10"/>
        <v>rokprognozy=2035 i lp=56</v>
      </c>
      <c r="AB59" s="16" t="str">
        <f t="shared" si="10"/>
        <v>rokprognozy=2036 i lp=56</v>
      </c>
      <c r="AC59" s="16" t="str">
        <f t="shared" si="12"/>
        <v>rokprognozy=2037 i lp=56</v>
      </c>
      <c r="AD59" s="16" t="str">
        <f t="shared" si="12"/>
        <v>rokprognozy=2038 i lp=56</v>
      </c>
      <c r="AE59" s="16" t="str">
        <f t="shared" si="12"/>
        <v>rokprognozy=2039 i lp=56</v>
      </c>
      <c r="AF59" s="16" t="str">
        <f t="shared" si="12"/>
        <v>rokprognozy=2040 i lp=56</v>
      </c>
      <c r="AG59" s="16" t="str">
        <f t="shared" si="12"/>
        <v>rokprognozy=2041 i lp=56</v>
      </c>
      <c r="AH59" s="16" t="str">
        <f t="shared" si="12"/>
        <v>rokprognozy=2042 i lp=56</v>
      </c>
      <c r="AI59" s="16" t="str">
        <f t="shared" si="12"/>
        <v>rokprognozy=2043 i lp=56</v>
      </c>
      <c r="AJ59" s="16" t="str">
        <f t="shared" si="12"/>
        <v>rokprognozy=2044 i lp=56</v>
      </c>
      <c r="AK59" s="16" t="str">
        <f t="shared" si="12"/>
        <v>rokprognozy=2045 i lp=56</v>
      </c>
      <c r="AL59" s="16" t="str">
        <f t="shared" si="12"/>
        <v>rokprognozy=2046 i lp=56</v>
      </c>
      <c r="AM59" s="16" t="str">
        <f t="shared" si="12"/>
        <v>rokprognozy=2047 i lp=56</v>
      </c>
      <c r="AN59" s="16" t="str">
        <f t="shared" si="12"/>
        <v>rokprognozy=2048 i lp=56</v>
      </c>
      <c r="AO59" s="16" t="str">
        <f t="shared" si="12"/>
        <v>rokprognozy=2049 i lp=56</v>
      </c>
      <c r="AP59" s="16" t="str">
        <f t="shared" si="12"/>
        <v>rokprognozy=2050 i lp=56</v>
      </c>
    </row>
    <row r="60" spans="1:42">
      <c r="A60" s="6">
        <v>57</v>
      </c>
      <c r="B60" s="17">
        <v>30</v>
      </c>
      <c r="C60" s="19" t="s">
        <v>88</v>
      </c>
      <c r="D60" s="15" t="str">
        <f t="shared" si="9"/>
        <v>rokprognozy=2012 i lp=57</v>
      </c>
      <c r="E60" s="15" t="str">
        <f t="shared" si="9"/>
        <v>rokprognozy=2013 i lp=57</v>
      </c>
      <c r="F60" s="16" t="str">
        <f t="shared" si="9"/>
        <v>rokprognozy=2014 i lp=57</v>
      </c>
      <c r="G60" s="16" t="str">
        <f t="shared" si="9"/>
        <v>rokprognozy=2015 i lp=57</v>
      </c>
      <c r="H60" s="16" t="str">
        <f t="shared" si="9"/>
        <v>rokprognozy=2016 i lp=57</v>
      </c>
      <c r="I60" s="16" t="str">
        <f t="shared" si="9"/>
        <v>rokprognozy=2017 i lp=57</v>
      </c>
      <c r="J60" s="16" t="str">
        <f t="shared" si="9"/>
        <v>rokprognozy=2018 i lp=57</v>
      </c>
      <c r="K60" s="16" t="str">
        <f t="shared" si="9"/>
        <v>rokprognozy=2019 i lp=57</v>
      </c>
      <c r="L60" s="16" t="str">
        <f t="shared" si="9"/>
        <v>rokprognozy=2020 i lp=57</v>
      </c>
      <c r="M60" s="16" t="str">
        <f t="shared" si="10"/>
        <v>rokprognozy=2021 i lp=57</v>
      </c>
      <c r="N60" s="16" t="str">
        <f t="shared" si="10"/>
        <v>rokprognozy=2022 i lp=57</v>
      </c>
      <c r="O60" s="16" t="str">
        <f t="shared" si="10"/>
        <v>rokprognozy=2023 i lp=57</v>
      </c>
      <c r="P60" s="16" t="str">
        <f t="shared" si="10"/>
        <v>rokprognozy=2024 i lp=57</v>
      </c>
      <c r="Q60" s="16" t="str">
        <f t="shared" si="10"/>
        <v>rokprognozy=2025 i lp=57</v>
      </c>
      <c r="R60" s="16" t="str">
        <f t="shared" si="10"/>
        <v>rokprognozy=2026 i lp=57</v>
      </c>
      <c r="S60" s="16" t="str">
        <f t="shared" si="10"/>
        <v>rokprognozy=2027 i lp=57</v>
      </c>
      <c r="T60" s="16" t="str">
        <f t="shared" si="10"/>
        <v>rokprognozy=2028 i lp=57</v>
      </c>
      <c r="U60" s="16" t="str">
        <f t="shared" si="10"/>
        <v>rokprognozy=2029 i lp=57</v>
      </c>
      <c r="V60" s="16" t="str">
        <f t="shared" si="10"/>
        <v>rokprognozy=2030 i lp=57</v>
      </c>
      <c r="W60" s="16" t="str">
        <f t="shared" si="10"/>
        <v>rokprognozy=2031 i lp=57</v>
      </c>
      <c r="X60" s="16" t="str">
        <f t="shared" si="10"/>
        <v>rokprognozy=2032 i lp=57</v>
      </c>
      <c r="Y60" s="16" t="str">
        <f t="shared" si="10"/>
        <v>rokprognozy=2033 i lp=57</v>
      </c>
      <c r="Z60" s="16" t="str">
        <f t="shared" si="10"/>
        <v>rokprognozy=2034 i lp=57</v>
      </c>
      <c r="AA60" s="16" t="str">
        <f t="shared" si="10"/>
        <v>rokprognozy=2035 i lp=57</v>
      </c>
      <c r="AB60" s="16" t="str">
        <f t="shared" si="10"/>
        <v>rokprognozy=2036 i lp=57</v>
      </c>
      <c r="AC60" s="16" t="str">
        <f t="shared" si="12"/>
        <v>rokprognozy=2037 i lp=57</v>
      </c>
      <c r="AD60" s="16" t="str">
        <f t="shared" si="12"/>
        <v>rokprognozy=2038 i lp=57</v>
      </c>
      <c r="AE60" s="16" t="str">
        <f t="shared" si="12"/>
        <v>rokprognozy=2039 i lp=57</v>
      </c>
      <c r="AF60" s="16" t="str">
        <f t="shared" si="12"/>
        <v>rokprognozy=2040 i lp=57</v>
      </c>
      <c r="AG60" s="16" t="str">
        <f t="shared" si="12"/>
        <v>rokprognozy=2041 i lp=57</v>
      </c>
      <c r="AH60" s="16" t="str">
        <f t="shared" si="12"/>
        <v>rokprognozy=2042 i lp=57</v>
      </c>
      <c r="AI60" s="16" t="str">
        <f t="shared" si="12"/>
        <v>rokprognozy=2043 i lp=57</v>
      </c>
      <c r="AJ60" s="16" t="str">
        <f t="shared" si="12"/>
        <v>rokprognozy=2044 i lp=57</v>
      </c>
      <c r="AK60" s="16" t="str">
        <f t="shared" si="12"/>
        <v>rokprognozy=2045 i lp=57</v>
      </c>
      <c r="AL60" s="16" t="str">
        <f t="shared" si="12"/>
        <v>rokprognozy=2046 i lp=57</v>
      </c>
      <c r="AM60" s="16" t="str">
        <f t="shared" si="12"/>
        <v>rokprognozy=2047 i lp=57</v>
      </c>
      <c r="AN60" s="16" t="str">
        <f t="shared" si="12"/>
        <v>rokprognozy=2048 i lp=57</v>
      </c>
      <c r="AO60" s="16" t="str">
        <f t="shared" si="12"/>
        <v>rokprognozy=2049 i lp=57</v>
      </c>
      <c r="AP60" s="16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5"/>
  <sheetViews>
    <sheetView tabSelected="1" topLeftCell="A22" workbookViewId="0">
      <selection activeCell="C43" sqref="C43:D43"/>
    </sheetView>
  </sheetViews>
  <sheetFormatPr defaultRowHeight="14.25"/>
  <cols>
    <col min="1" max="1" width="3.875" style="54" customWidth="1"/>
    <col min="2" max="2" width="45.625" style="54" customWidth="1"/>
    <col min="3" max="9" width="11.625" style="54" customWidth="1"/>
    <col min="10" max="10" width="3.625" style="54" customWidth="1"/>
    <col min="11" max="11" width="45.625" style="54" customWidth="1"/>
    <col min="12" max="18" width="11.625" style="54" customWidth="1"/>
    <col min="19" max="19" width="3.625" style="54" customWidth="1"/>
    <col min="20" max="20" width="45.625" style="54" customWidth="1"/>
    <col min="21" max="27" width="11.625" style="54" customWidth="1"/>
    <col min="28" max="28" width="3.625" style="54" customWidth="1"/>
    <col min="29" max="29" width="45.625" style="54" customWidth="1"/>
    <col min="30" max="36" width="11.625" style="54" customWidth="1"/>
    <col min="37" max="37" width="3.625" style="54" customWidth="1"/>
    <col min="38" max="38" width="45.625" style="54" customWidth="1"/>
    <col min="39" max="45" width="11.625" style="54" customWidth="1"/>
    <col min="46" max="46" width="3.625" style="54" customWidth="1"/>
    <col min="47" max="47" width="46.125" style="54" customWidth="1"/>
    <col min="48" max="49" width="11.625" style="54" customWidth="1"/>
    <col min="50" max="50" width="10.375" style="54" bestFit="1" customWidth="1"/>
    <col min="51" max="16384" width="9" style="54"/>
  </cols>
  <sheetData>
    <row r="1" spans="1:55">
      <c r="A1" s="251" t="s">
        <v>236</v>
      </c>
      <c r="B1" s="252"/>
      <c r="C1" s="250"/>
      <c r="H1" s="239"/>
      <c r="I1" s="239" t="s">
        <v>301</v>
      </c>
      <c r="J1" s="255" t="s">
        <v>133</v>
      </c>
      <c r="K1" s="256"/>
      <c r="L1" s="256"/>
      <c r="M1" s="256"/>
      <c r="N1" s="256"/>
      <c r="O1" s="256"/>
      <c r="P1" s="256"/>
      <c r="Q1" s="256"/>
      <c r="R1" s="256"/>
      <c r="S1" s="249" t="s">
        <v>141</v>
      </c>
      <c r="T1" s="249"/>
      <c r="U1" s="249"/>
      <c r="V1" s="249"/>
      <c r="W1" s="249"/>
      <c r="X1" s="249"/>
      <c r="Y1" s="249"/>
      <c r="Z1" s="249"/>
      <c r="AA1" s="249"/>
      <c r="AB1" s="249" t="s">
        <v>136</v>
      </c>
      <c r="AC1" s="249"/>
      <c r="AD1" s="249"/>
      <c r="AE1" s="249"/>
      <c r="AF1" s="249"/>
      <c r="AG1" s="249"/>
      <c r="AH1" s="249"/>
      <c r="AI1" s="249"/>
      <c r="AJ1" s="249"/>
      <c r="AK1" s="249" t="s">
        <v>284</v>
      </c>
      <c r="AL1" s="249"/>
      <c r="AM1" s="249"/>
      <c r="AN1" s="249"/>
      <c r="AO1" s="249"/>
      <c r="AP1" s="249"/>
      <c r="AQ1" s="249"/>
      <c r="AR1" s="249"/>
      <c r="AS1" s="249"/>
      <c r="AT1" s="249" t="s">
        <v>287</v>
      </c>
      <c r="AU1" s="249"/>
      <c r="AV1" s="249"/>
      <c r="AW1" s="249"/>
      <c r="AX1" s="249"/>
      <c r="AY1" s="249"/>
      <c r="AZ1" s="249"/>
      <c r="BA1" s="249"/>
      <c r="BB1" s="249"/>
      <c r="BC1" s="250"/>
    </row>
    <row r="2" spans="1:55" ht="15">
      <c r="A2" s="253"/>
      <c r="B2" s="253"/>
      <c r="C2" s="254"/>
      <c r="H2" s="239"/>
      <c r="I2" s="239" t="s">
        <v>239</v>
      </c>
      <c r="J2" s="118"/>
      <c r="S2" s="118"/>
      <c r="AB2" s="118"/>
      <c r="AK2" s="118"/>
      <c r="AT2" s="118"/>
    </row>
    <row r="3" spans="1:55" ht="12" customHeight="1">
      <c r="A3" s="61" t="s">
        <v>0</v>
      </c>
      <c r="B3" s="62" t="s">
        <v>1</v>
      </c>
      <c r="C3" s="63" t="s">
        <v>96</v>
      </c>
      <c r="D3" s="63" t="s">
        <v>202</v>
      </c>
      <c r="E3" s="63" t="s">
        <v>237</v>
      </c>
      <c r="F3" s="63" t="s">
        <v>238</v>
      </c>
      <c r="G3" s="63" t="s">
        <v>99</v>
      </c>
      <c r="H3" s="63" t="s">
        <v>100</v>
      </c>
      <c r="I3" s="63" t="s">
        <v>101</v>
      </c>
      <c r="J3" s="61" t="s">
        <v>0</v>
      </c>
      <c r="K3" s="62" t="s">
        <v>1</v>
      </c>
      <c r="L3" s="63" t="s">
        <v>102</v>
      </c>
      <c r="M3" s="63" t="s">
        <v>103</v>
      </c>
      <c r="N3" s="63" t="s">
        <v>104</v>
      </c>
      <c r="O3" s="63" t="s">
        <v>105</v>
      </c>
      <c r="P3" s="63" t="s">
        <v>106</v>
      </c>
      <c r="Q3" s="63" t="s">
        <v>107</v>
      </c>
      <c r="R3" s="63" t="s">
        <v>108</v>
      </c>
      <c r="S3" s="61" t="s">
        <v>0</v>
      </c>
      <c r="T3" s="62" t="s">
        <v>1</v>
      </c>
      <c r="U3" s="63" t="s">
        <v>109</v>
      </c>
      <c r="V3" s="63" t="s">
        <v>110</v>
      </c>
      <c r="W3" s="63" t="s">
        <v>111</v>
      </c>
      <c r="X3" s="63" t="s">
        <v>112</v>
      </c>
      <c r="Y3" s="63" t="s">
        <v>113</v>
      </c>
      <c r="Z3" s="63" t="s">
        <v>114</v>
      </c>
      <c r="AA3" s="63" t="s">
        <v>115</v>
      </c>
      <c r="AB3" s="61" t="s">
        <v>0</v>
      </c>
      <c r="AC3" s="62" t="s">
        <v>1</v>
      </c>
      <c r="AD3" s="63" t="s">
        <v>116</v>
      </c>
      <c r="AE3" s="63" t="s">
        <v>117</v>
      </c>
      <c r="AF3" s="63" t="s">
        <v>118</v>
      </c>
      <c r="AG3" s="63" t="s">
        <v>119</v>
      </c>
      <c r="AH3" s="63" t="s">
        <v>120</v>
      </c>
      <c r="AI3" s="63" t="s">
        <v>121</v>
      </c>
      <c r="AJ3" s="63" t="s">
        <v>122</v>
      </c>
      <c r="AK3" s="61" t="s">
        <v>0</v>
      </c>
      <c r="AL3" s="62" t="s">
        <v>1</v>
      </c>
      <c r="AM3" s="63" t="s">
        <v>123</v>
      </c>
      <c r="AN3" s="63" t="s">
        <v>124</v>
      </c>
      <c r="AO3" s="63" t="s">
        <v>125</v>
      </c>
      <c r="AP3" s="63" t="s">
        <v>126</v>
      </c>
      <c r="AQ3" s="63" t="s">
        <v>127</v>
      </c>
      <c r="AR3" s="63" t="s">
        <v>128</v>
      </c>
      <c r="AS3" s="63" t="s">
        <v>129</v>
      </c>
      <c r="AT3" s="61" t="s">
        <v>0</v>
      </c>
      <c r="AU3" s="62" t="s">
        <v>1</v>
      </c>
      <c r="AV3" s="63" t="s">
        <v>130</v>
      </c>
      <c r="AW3" s="63" t="s">
        <v>131</v>
      </c>
    </row>
    <row r="4" spans="1:55" ht="12" customHeight="1">
      <c r="A4" s="39">
        <v>1</v>
      </c>
      <c r="B4" s="40" t="s">
        <v>291</v>
      </c>
      <c r="C4" s="28">
        <f>SUM(C5,C8)</f>
        <v>42724589.049999997</v>
      </c>
      <c r="D4" s="28">
        <f t="shared" ref="D4:H4" si="0">SUM(D5,D8)</f>
        <v>44243768.019999996</v>
      </c>
      <c r="E4" s="28">
        <f t="shared" si="0"/>
        <v>69556097.530000001</v>
      </c>
      <c r="F4" s="28">
        <f t="shared" si="0"/>
        <v>63593261.140000001</v>
      </c>
      <c r="G4" s="28">
        <f t="shared" si="0"/>
        <v>47505767</v>
      </c>
      <c r="H4" s="28">
        <f t="shared" si="0"/>
        <v>48753650</v>
      </c>
      <c r="I4" s="28">
        <f>SUM(I5,I8)</f>
        <v>50186260</v>
      </c>
      <c r="J4" s="39">
        <v>1</v>
      </c>
      <c r="K4" s="40" t="s">
        <v>291</v>
      </c>
      <c r="L4" s="28">
        <f t="shared" ref="L4:Q4" si="1">SUM(L5,L8)</f>
        <v>50661900</v>
      </c>
      <c r="M4" s="28">
        <f t="shared" si="1"/>
        <v>52181700</v>
      </c>
      <c r="N4" s="28">
        <f t="shared" si="1"/>
        <v>53747200</v>
      </c>
      <c r="O4" s="28">
        <f t="shared" si="1"/>
        <v>55359600</v>
      </c>
      <c r="P4" s="28">
        <f t="shared" si="1"/>
        <v>57020400</v>
      </c>
      <c r="Q4" s="28">
        <f t="shared" si="1"/>
        <v>58731000</v>
      </c>
      <c r="R4" s="28">
        <f>SUM(R5,R8)</f>
        <v>60492900</v>
      </c>
      <c r="S4" s="39">
        <v>1</v>
      </c>
      <c r="T4" s="40" t="s">
        <v>291</v>
      </c>
      <c r="U4" s="28">
        <f t="shared" ref="U4:Z4" si="2">SUM(U5,U8)</f>
        <v>62060768</v>
      </c>
      <c r="V4" s="28">
        <f t="shared" si="2"/>
        <v>63475286</v>
      </c>
      <c r="W4" s="28">
        <f t="shared" si="2"/>
        <v>64922338</v>
      </c>
      <c r="X4" s="28">
        <f t="shared" si="2"/>
        <v>66402672</v>
      </c>
      <c r="Y4" s="28">
        <f t="shared" si="2"/>
        <v>67917053</v>
      </c>
      <c r="Z4" s="28">
        <f t="shared" si="2"/>
        <v>69398908</v>
      </c>
      <c r="AA4" s="28">
        <f>SUM(AA5,AA8)</f>
        <v>70913364</v>
      </c>
      <c r="AB4" s="39">
        <v>1</v>
      </c>
      <c r="AC4" s="40" t="s">
        <v>291</v>
      </c>
      <c r="AD4" s="28">
        <f t="shared" ref="AD4:AI4" si="3">SUM(AD5,AD8)</f>
        <v>72461138</v>
      </c>
      <c r="AE4" s="28">
        <f t="shared" si="3"/>
        <v>74042963</v>
      </c>
      <c r="AF4" s="28">
        <f t="shared" si="3"/>
        <v>75659588</v>
      </c>
      <c r="AG4" s="28">
        <f t="shared" si="3"/>
        <v>77236679</v>
      </c>
      <c r="AH4" s="28">
        <f t="shared" si="3"/>
        <v>78846889</v>
      </c>
      <c r="AI4" s="28">
        <f t="shared" si="3"/>
        <v>80490914</v>
      </c>
      <c r="AJ4" s="28">
        <f>SUM(AJ5,AJ8)</f>
        <v>82169463</v>
      </c>
      <c r="AK4" s="39">
        <v>1</v>
      </c>
      <c r="AL4" s="40" t="s">
        <v>291</v>
      </c>
      <c r="AM4" s="28">
        <f t="shared" ref="AM4:AR4" si="4">SUM(AM5,AM8)</f>
        <v>83883262</v>
      </c>
      <c r="AN4" s="28">
        <f t="shared" si="4"/>
        <v>85549727</v>
      </c>
      <c r="AO4" s="28">
        <f t="shared" si="4"/>
        <v>87249522</v>
      </c>
      <c r="AP4" s="28">
        <f t="shared" si="4"/>
        <v>88983312</v>
      </c>
      <c r="AQ4" s="28">
        <f t="shared" si="4"/>
        <v>90751778</v>
      </c>
      <c r="AR4" s="28">
        <f t="shared" si="4"/>
        <v>92555614</v>
      </c>
      <c r="AS4" s="28">
        <f>SUM(AS5,AS8)</f>
        <v>94395526</v>
      </c>
      <c r="AT4" s="39">
        <v>1</v>
      </c>
      <c r="AU4" s="40" t="s">
        <v>291</v>
      </c>
      <c r="AV4" s="28">
        <f t="shared" ref="AV4:AW4" si="5">SUM(AV5,AV8)</f>
        <v>96272237</v>
      </c>
      <c r="AW4" s="28">
        <f t="shared" si="5"/>
        <v>98186482</v>
      </c>
    </row>
    <row r="5" spans="1:55" ht="12" customHeight="1">
      <c r="A5" s="45" t="s">
        <v>29</v>
      </c>
      <c r="B5" s="33" t="s">
        <v>242</v>
      </c>
      <c r="C5" s="29">
        <v>40095561.079999998</v>
      </c>
      <c r="D5" s="29">
        <v>43619757.509999998</v>
      </c>
      <c r="E5" s="29">
        <v>46332582.530000001</v>
      </c>
      <c r="F5" s="29">
        <v>46600669.140000001</v>
      </c>
      <c r="G5" s="29">
        <v>46362767</v>
      </c>
      <c r="H5" s="29">
        <v>47753650</v>
      </c>
      <c r="I5" s="29">
        <v>49186260</v>
      </c>
      <c r="J5" s="45" t="s">
        <v>29</v>
      </c>
      <c r="K5" s="33" t="s">
        <v>242</v>
      </c>
      <c r="L5" s="29">
        <v>50661900</v>
      </c>
      <c r="M5" s="29">
        <v>52181700</v>
      </c>
      <c r="N5" s="29">
        <v>53747200</v>
      </c>
      <c r="O5" s="29">
        <v>55359600</v>
      </c>
      <c r="P5" s="29">
        <v>57020400</v>
      </c>
      <c r="Q5" s="29">
        <v>58731000</v>
      </c>
      <c r="R5" s="29">
        <v>60492900</v>
      </c>
      <c r="S5" s="45" t="s">
        <v>29</v>
      </c>
      <c r="T5" s="33" t="s">
        <v>242</v>
      </c>
      <c r="U5" s="29">
        <f>62060768</f>
        <v>62060768</v>
      </c>
      <c r="V5" s="29">
        <f>63475286</f>
        <v>63475286</v>
      </c>
      <c r="W5" s="29">
        <f>64922338</f>
        <v>64922338</v>
      </c>
      <c r="X5" s="29">
        <f>66402672</f>
        <v>66402672</v>
      </c>
      <c r="Y5" s="29">
        <f>67917053</f>
        <v>67917053</v>
      </c>
      <c r="Z5" s="29">
        <f>69398908</f>
        <v>69398908</v>
      </c>
      <c r="AA5" s="29">
        <f>70913364</f>
        <v>70913364</v>
      </c>
      <c r="AB5" s="45" t="s">
        <v>29</v>
      </c>
      <c r="AC5" s="33" t="s">
        <v>242</v>
      </c>
      <c r="AD5" s="29">
        <f>72461138</f>
        <v>72461138</v>
      </c>
      <c r="AE5" s="29">
        <f>74042963</f>
        <v>74042963</v>
      </c>
      <c r="AF5" s="29">
        <f>75659588</f>
        <v>75659588</v>
      </c>
      <c r="AG5" s="29">
        <f>77236679</f>
        <v>77236679</v>
      </c>
      <c r="AH5" s="29">
        <f>78846889</f>
        <v>78846889</v>
      </c>
      <c r="AI5" s="29">
        <f>80490914</f>
        <v>80490914</v>
      </c>
      <c r="AJ5" s="29">
        <f>82169463</f>
        <v>82169463</v>
      </c>
      <c r="AK5" s="45" t="s">
        <v>29</v>
      </c>
      <c r="AL5" s="33" t="s">
        <v>242</v>
      </c>
      <c r="AM5" s="29">
        <f>83883262</f>
        <v>83883262</v>
      </c>
      <c r="AN5" s="29">
        <f>85549727</f>
        <v>85549727</v>
      </c>
      <c r="AO5" s="29">
        <f>87249522</f>
        <v>87249522</v>
      </c>
      <c r="AP5" s="29">
        <f>88983312</f>
        <v>88983312</v>
      </c>
      <c r="AQ5" s="29">
        <f>90751778</f>
        <v>90751778</v>
      </c>
      <c r="AR5" s="29">
        <f>92555614</f>
        <v>92555614</v>
      </c>
      <c r="AS5" s="29">
        <f>94395526</f>
        <v>94395526</v>
      </c>
      <c r="AT5" s="45" t="s">
        <v>29</v>
      </c>
      <c r="AU5" s="33" t="s">
        <v>242</v>
      </c>
      <c r="AV5" s="29">
        <f>96272237</f>
        <v>96272237</v>
      </c>
      <c r="AW5" s="29">
        <f>98186482</f>
        <v>98186482</v>
      </c>
    </row>
    <row r="6" spans="1:55" ht="24" customHeight="1">
      <c r="A6" s="45" t="s">
        <v>241</v>
      </c>
      <c r="B6" s="33" t="s">
        <v>243</v>
      </c>
      <c r="C6" s="29">
        <v>212610.79</v>
      </c>
      <c r="D6" s="29">
        <v>254771.75</v>
      </c>
      <c r="E6" s="29">
        <v>502867.5</v>
      </c>
      <c r="F6" s="29">
        <v>509261.5</v>
      </c>
      <c r="G6" s="29">
        <v>363099.75</v>
      </c>
      <c r="H6" s="29">
        <v>116350</v>
      </c>
      <c r="I6" s="29">
        <v>0</v>
      </c>
      <c r="J6" s="45" t="s">
        <v>241</v>
      </c>
      <c r="K6" s="33" t="s">
        <v>243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45" t="s">
        <v>241</v>
      </c>
      <c r="T6" s="33" t="s">
        <v>243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45" t="s">
        <v>241</v>
      </c>
      <c r="AC6" s="33" t="s">
        <v>243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45" t="s">
        <v>241</v>
      </c>
      <c r="AL6" s="33" t="s">
        <v>243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45" t="s">
        <v>241</v>
      </c>
      <c r="AU6" s="33" t="s">
        <v>243</v>
      </c>
      <c r="AV6" s="29">
        <v>0</v>
      </c>
      <c r="AW6" s="29">
        <v>0</v>
      </c>
    </row>
    <row r="7" spans="1:55" ht="12" customHeight="1">
      <c r="A7" s="45" t="s">
        <v>31</v>
      </c>
      <c r="B7" s="31" t="s">
        <v>244</v>
      </c>
      <c r="C7" s="29">
        <v>205390.09</v>
      </c>
      <c r="D7" s="29">
        <v>246061.52</v>
      </c>
      <c r="E7" s="29">
        <v>449054</v>
      </c>
      <c r="F7" s="29">
        <v>454488.9</v>
      </c>
      <c r="G7" s="29">
        <v>345370.5</v>
      </c>
      <c r="H7" s="29">
        <v>116350</v>
      </c>
      <c r="I7" s="29">
        <v>0</v>
      </c>
      <c r="J7" s="45" t="s">
        <v>31</v>
      </c>
      <c r="K7" s="31" t="s">
        <v>244</v>
      </c>
      <c r="L7" s="29">
        <f>0</f>
        <v>0</v>
      </c>
      <c r="M7" s="29">
        <f>0</f>
        <v>0</v>
      </c>
      <c r="N7" s="29">
        <f>0</f>
        <v>0</v>
      </c>
      <c r="O7" s="29">
        <f>0</f>
        <v>0</v>
      </c>
      <c r="P7" s="29">
        <f>0</f>
        <v>0</v>
      </c>
      <c r="Q7" s="29">
        <f>0</f>
        <v>0</v>
      </c>
      <c r="R7" s="29">
        <f>0</f>
        <v>0</v>
      </c>
      <c r="S7" s="45" t="s">
        <v>31</v>
      </c>
      <c r="T7" s="31" t="s">
        <v>244</v>
      </c>
      <c r="U7" s="29">
        <f>0</f>
        <v>0</v>
      </c>
      <c r="V7" s="29">
        <f>0</f>
        <v>0</v>
      </c>
      <c r="W7" s="29">
        <f>0</f>
        <v>0</v>
      </c>
      <c r="X7" s="29">
        <f>0</f>
        <v>0</v>
      </c>
      <c r="Y7" s="29">
        <f>0</f>
        <v>0</v>
      </c>
      <c r="Z7" s="29">
        <f>0</f>
        <v>0</v>
      </c>
      <c r="AA7" s="29">
        <f>0</f>
        <v>0</v>
      </c>
      <c r="AB7" s="45" t="s">
        <v>31</v>
      </c>
      <c r="AC7" s="31" t="s">
        <v>244</v>
      </c>
      <c r="AD7" s="29">
        <f>0</f>
        <v>0</v>
      </c>
      <c r="AE7" s="29">
        <f>0</f>
        <v>0</v>
      </c>
      <c r="AF7" s="29">
        <f>0</f>
        <v>0</v>
      </c>
      <c r="AG7" s="29">
        <f>0</f>
        <v>0</v>
      </c>
      <c r="AH7" s="29">
        <f>0</f>
        <v>0</v>
      </c>
      <c r="AI7" s="29">
        <f>0</f>
        <v>0</v>
      </c>
      <c r="AJ7" s="29">
        <f>0</f>
        <v>0</v>
      </c>
      <c r="AK7" s="45" t="s">
        <v>31</v>
      </c>
      <c r="AL7" s="31" t="s">
        <v>244</v>
      </c>
      <c r="AM7" s="29">
        <f>0</f>
        <v>0</v>
      </c>
      <c r="AN7" s="29">
        <f>0</f>
        <v>0</v>
      </c>
      <c r="AO7" s="29">
        <f>0</f>
        <v>0</v>
      </c>
      <c r="AP7" s="29">
        <f>0</f>
        <v>0</v>
      </c>
      <c r="AQ7" s="29">
        <f>0</f>
        <v>0</v>
      </c>
      <c r="AR7" s="29">
        <f>0</f>
        <v>0</v>
      </c>
      <c r="AS7" s="29">
        <f>0</f>
        <v>0</v>
      </c>
      <c r="AT7" s="45" t="s">
        <v>31</v>
      </c>
      <c r="AU7" s="31" t="s">
        <v>244</v>
      </c>
      <c r="AV7" s="29">
        <f>0</f>
        <v>0</v>
      </c>
      <c r="AW7" s="29">
        <f>0</f>
        <v>0</v>
      </c>
    </row>
    <row r="8" spans="1:55" ht="12" customHeight="1">
      <c r="A8" s="45" t="s">
        <v>33</v>
      </c>
      <c r="B8" s="64" t="s">
        <v>34</v>
      </c>
      <c r="C8" s="29">
        <v>2629027.9700000002</v>
      </c>
      <c r="D8" s="29">
        <v>624010.51</v>
      </c>
      <c r="E8" s="29">
        <v>23223515</v>
      </c>
      <c r="F8" s="29">
        <v>16992592</v>
      </c>
      <c r="G8" s="29">
        <v>1143000</v>
      </c>
      <c r="H8" s="29">
        <v>1000000</v>
      </c>
      <c r="I8" s="29">
        <v>1000000</v>
      </c>
      <c r="J8" s="45" t="s">
        <v>33</v>
      </c>
      <c r="K8" s="64" t="s">
        <v>34</v>
      </c>
      <c r="L8" s="29">
        <v>0</v>
      </c>
      <c r="M8" s="29">
        <f>0</f>
        <v>0</v>
      </c>
      <c r="N8" s="29">
        <f>0</f>
        <v>0</v>
      </c>
      <c r="O8" s="29">
        <f>0</f>
        <v>0</v>
      </c>
      <c r="P8" s="29">
        <f>0</f>
        <v>0</v>
      </c>
      <c r="Q8" s="29">
        <f>0</f>
        <v>0</v>
      </c>
      <c r="R8" s="29">
        <f>0</f>
        <v>0</v>
      </c>
      <c r="S8" s="45" t="s">
        <v>33</v>
      </c>
      <c r="T8" s="64" t="s">
        <v>34</v>
      </c>
      <c r="U8" s="29">
        <f>0</f>
        <v>0</v>
      </c>
      <c r="V8" s="29">
        <f>0</f>
        <v>0</v>
      </c>
      <c r="W8" s="29">
        <f>0</f>
        <v>0</v>
      </c>
      <c r="X8" s="29">
        <f>0</f>
        <v>0</v>
      </c>
      <c r="Y8" s="29">
        <f>0</f>
        <v>0</v>
      </c>
      <c r="Z8" s="29">
        <f>0</f>
        <v>0</v>
      </c>
      <c r="AA8" s="29">
        <f>0</f>
        <v>0</v>
      </c>
      <c r="AB8" s="45" t="s">
        <v>33</v>
      </c>
      <c r="AC8" s="64" t="s">
        <v>34</v>
      </c>
      <c r="AD8" s="29">
        <f>0</f>
        <v>0</v>
      </c>
      <c r="AE8" s="29">
        <f>0</f>
        <v>0</v>
      </c>
      <c r="AF8" s="29">
        <f>0</f>
        <v>0</v>
      </c>
      <c r="AG8" s="29">
        <f>0</f>
        <v>0</v>
      </c>
      <c r="AH8" s="29">
        <f>0</f>
        <v>0</v>
      </c>
      <c r="AI8" s="29">
        <f>0</f>
        <v>0</v>
      </c>
      <c r="AJ8" s="29">
        <f>0</f>
        <v>0</v>
      </c>
      <c r="AK8" s="45" t="s">
        <v>33</v>
      </c>
      <c r="AL8" s="64" t="s">
        <v>34</v>
      </c>
      <c r="AM8" s="29">
        <f>0</f>
        <v>0</v>
      </c>
      <c r="AN8" s="29">
        <f>0</f>
        <v>0</v>
      </c>
      <c r="AO8" s="29">
        <f>0</f>
        <v>0</v>
      </c>
      <c r="AP8" s="29">
        <f>0</f>
        <v>0</v>
      </c>
      <c r="AQ8" s="29">
        <f>0</f>
        <v>0</v>
      </c>
      <c r="AR8" s="29">
        <f>0</f>
        <v>0</v>
      </c>
      <c r="AS8" s="29">
        <f>0</f>
        <v>0</v>
      </c>
      <c r="AT8" s="45" t="s">
        <v>33</v>
      </c>
      <c r="AU8" s="64" t="s">
        <v>34</v>
      </c>
      <c r="AV8" s="29">
        <f>0</f>
        <v>0</v>
      </c>
      <c r="AW8" s="29">
        <f>0</f>
        <v>0</v>
      </c>
    </row>
    <row r="9" spans="1:55" ht="12" customHeight="1">
      <c r="A9" s="45" t="s">
        <v>35</v>
      </c>
      <c r="B9" s="31" t="s">
        <v>26</v>
      </c>
      <c r="C9" s="29">
        <v>705855.64</v>
      </c>
      <c r="D9" s="29">
        <v>493950.94</v>
      </c>
      <c r="E9" s="29">
        <v>2472000</v>
      </c>
      <c r="F9" s="29">
        <v>2471000</v>
      </c>
      <c r="G9" s="29">
        <v>1130000</v>
      </c>
      <c r="H9" s="29">
        <v>1000000</v>
      </c>
      <c r="I9" s="29">
        <v>1000000</v>
      </c>
      <c r="J9" s="45" t="s">
        <v>35</v>
      </c>
      <c r="K9" s="31" t="s">
        <v>26</v>
      </c>
      <c r="L9" s="29">
        <v>0</v>
      </c>
      <c r="M9" s="29">
        <f>0</f>
        <v>0</v>
      </c>
      <c r="N9" s="29">
        <f>0</f>
        <v>0</v>
      </c>
      <c r="O9" s="29">
        <f>0</f>
        <v>0</v>
      </c>
      <c r="P9" s="29">
        <f>0</f>
        <v>0</v>
      </c>
      <c r="Q9" s="29">
        <f>0</f>
        <v>0</v>
      </c>
      <c r="R9" s="29">
        <f>0</f>
        <v>0</v>
      </c>
      <c r="S9" s="45" t="s">
        <v>35</v>
      </c>
      <c r="T9" s="31" t="s">
        <v>26</v>
      </c>
      <c r="U9" s="29">
        <f>0</f>
        <v>0</v>
      </c>
      <c r="V9" s="29">
        <f>0</f>
        <v>0</v>
      </c>
      <c r="W9" s="29">
        <f>0</f>
        <v>0</v>
      </c>
      <c r="X9" s="29">
        <f>0</f>
        <v>0</v>
      </c>
      <c r="Y9" s="29">
        <f>0</f>
        <v>0</v>
      </c>
      <c r="Z9" s="29">
        <f>0</f>
        <v>0</v>
      </c>
      <c r="AA9" s="29">
        <f>0</f>
        <v>0</v>
      </c>
      <c r="AB9" s="45" t="s">
        <v>35</v>
      </c>
      <c r="AC9" s="31" t="s">
        <v>26</v>
      </c>
      <c r="AD9" s="29">
        <f>0</f>
        <v>0</v>
      </c>
      <c r="AE9" s="29">
        <f>0</f>
        <v>0</v>
      </c>
      <c r="AF9" s="29">
        <f>0</f>
        <v>0</v>
      </c>
      <c r="AG9" s="29">
        <f>0</f>
        <v>0</v>
      </c>
      <c r="AH9" s="29">
        <f>0</f>
        <v>0</v>
      </c>
      <c r="AI9" s="29">
        <f>0</f>
        <v>0</v>
      </c>
      <c r="AJ9" s="29">
        <f>0</f>
        <v>0</v>
      </c>
      <c r="AK9" s="45" t="s">
        <v>35</v>
      </c>
      <c r="AL9" s="31" t="s">
        <v>26</v>
      </c>
      <c r="AM9" s="29">
        <f>0</f>
        <v>0</v>
      </c>
      <c r="AN9" s="29">
        <f>0</f>
        <v>0</v>
      </c>
      <c r="AO9" s="29">
        <f>0</f>
        <v>0</v>
      </c>
      <c r="AP9" s="29">
        <f>0</f>
        <v>0</v>
      </c>
      <c r="AQ9" s="29">
        <f>0</f>
        <v>0</v>
      </c>
      <c r="AR9" s="29">
        <f>0</f>
        <v>0</v>
      </c>
      <c r="AS9" s="29">
        <f>0</f>
        <v>0</v>
      </c>
      <c r="AT9" s="45" t="s">
        <v>35</v>
      </c>
      <c r="AU9" s="31" t="s">
        <v>26</v>
      </c>
      <c r="AV9" s="29">
        <f>0</f>
        <v>0</v>
      </c>
      <c r="AW9" s="29">
        <f>0</f>
        <v>0</v>
      </c>
    </row>
    <row r="10" spans="1:55" ht="24" customHeight="1">
      <c r="A10" s="45" t="s">
        <v>245</v>
      </c>
      <c r="B10" s="33" t="s">
        <v>243</v>
      </c>
      <c r="C10" s="29">
        <v>0</v>
      </c>
      <c r="D10" s="29">
        <v>0</v>
      </c>
      <c r="E10" s="29">
        <v>20000000</v>
      </c>
      <c r="F10" s="29">
        <v>13759778</v>
      </c>
      <c r="G10" s="29">
        <v>9000</v>
      </c>
      <c r="H10" s="29">
        <v>0</v>
      </c>
      <c r="I10" s="29">
        <v>0</v>
      </c>
      <c r="J10" s="45" t="s">
        <v>245</v>
      </c>
      <c r="K10" s="33" t="s">
        <v>243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45" t="s">
        <v>245</v>
      </c>
      <c r="T10" s="33" t="s">
        <v>243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45" t="s">
        <v>245</v>
      </c>
      <c r="AC10" s="33" t="s">
        <v>243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45" t="s">
        <v>245</v>
      </c>
      <c r="AL10" s="33" t="s">
        <v>243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45" t="s">
        <v>245</v>
      </c>
      <c r="AU10" s="33" t="s">
        <v>243</v>
      </c>
      <c r="AV10" s="29">
        <v>0</v>
      </c>
      <c r="AW10" s="29">
        <v>0</v>
      </c>
    </row>
    <row r="11" spans="1:55" ht="12" customHeight="1">
      <c r="A11" s="41" t="s">
        <v>37</v>
      </c>
      <c r="B11" s="31" t="s">
        <v>246</v>
      </c>
      <c r="C11" s="30">
        <v>0</v>
      </c>
      <c r="D11" s="30">
        <v>0</v>
      </c>
      <c r="E11" s="30">
        <v>20000000</v>
      </c>
      <c r="F11" s="30">
        <v>13759778</v>
      </c>
      <c r="G11" s="30">
        <v>9000</v>
      </c>
      <c r="H11" s="30">
        <f>0</f>
        <v>0</v>
      </c>
      <c r="I11" s="30">
        <f>0</f>
        <v>0</v>
      </c>
      <c r="J11" s="41" t="s">
        <v>37</v>
      </c>
      <c r="K11" s="31" t="s">
        <v>246</v>
      </c>
      <c r="L11" s="30">
        <f>0</f>
        <v>0</v>
      </c>
      <c r="M11" s="30">
        <f>0</f>
        <v>0</v>
      </c>
      <c r="N11" s="30">
        <f>0</f>
        <v>0</v>
      </c>
      <c r="O11" s="30">
        <f>0</f>
        <v>0</v>
      </c>
      <c r="P11" s="30">
        <f>0</f>
        <v>0</v>
      </c>
      <c r="Q11" s="30">
        <f>0</f>
        <v>0</v>
      </c>
      <c r="R11" s="30">
        <f>0</f>
        <v>0</v>
      </c>
      <c r="S11" s="41" t="s">
        <v>37</v>
      </c>
      <c r="T11" s="31" t="s">
        <v>246</v>
      </c>
      <c r="U11" s="30">
        <f>0</f>
        <v>0</v>
      </c>
      <c r="V11" s="30">
        <f>0</f>
        <v>0</v>
      </c>
      <c r="W11" s="30">
        <f>0</f>
        <v>0</v>
      </c>
      <c r="X11" s="30">
        <f>0</f>
        <v>0</v>
      </c>
      <c r="Y11" s="30">
        <f>0</f>
        <v>0</v>
      </c>
      <c r="Z11" s="30">
        <f>0</f>
        <v>0</v>
      </c>
      <c r="AA11" s="30">
        <f>0</f>
        <v>0</v>
      </c>
      <c r="AB11" s="41" t="s">
        <v>37</v>
      </c>
      <c r="AC11" s="31" t="s">
        <v>246</v>
      </c>
      <c r="AD11" s="30">
        <f>0</f>
        <v>0</v>
      </c>
      <c r="AE11" s="30">
        <f>0</f>
        <v>0</v>
      </c>
      <c r="AF11" s="30">
        <f>0</f>
        <v>0</v>
      </c>
      <c r="AG11" s="30">
        <f>0</f>
        <v>0</v>
      </c>
      <c r="AH11" s="30">
        <f>0</f>
        <v>0</v>
      </c>
      <c r="AI11" s="30">
        <f>0</f>
        <v>0</v>
      </c>
      <c r="AJ11" s="30">
        <f>0</f>
        <v>0</v>
      </c>
      <c r="AK11" s="41" t="s">
        <v>37</v>
      </c>
      <c r="AL11" s="31" t="s">
        <v>246</v>
      </c>
      <c r="AM11" s="30">
        <f>0</f>
        <v>0</v>
      </c>
      <c r="AN11" s="30">
        <f>0</f>
        <v>0</v>
      </c>
      <c r="AO11" s="30">
        <f>0</f>
        <v>0</v>
      </c>
      <c r="AP11" s="30">
        <f>0</f>
        <v>0</v>
      </c>
      <c r="AQ11" s="30">
        <f>0</f>
        <v>0</v>
      </c>
      <c r="AR11" s="30">
        <f>0</f>
        <v>0</v>
      </c>
      <c r="AS11" s="30">
        <f>0</f>
        <v>0</v>
      </c>
      <c r="AT11" s="41" t="s">
        <v>37</v>
      </c>
      <c r="AU11" s="31" t="s">
        <v>246</v>
      </c>
      <c r="AV11" s="30">
        <f>0</f>
        <v>0</v>
      </c>
      <c r="AW11" s="30">
        <f>0</f>
        <v>0</v>
      </c>
    </row>
    <row r="12" spans="1:55" ht="24" customHeight="1">
      <c r="A12" s="39">
        <v>2</v>
      </c>
      <c r="B12" s="40" t="s">
        <v>2</v>
      </c>
      <c r="C12" s="28">
        <v>33441188.239999998</v>
      </c>
      <c r="D12" s="28">
        <v>36130632.409999996</v>
      </c>
      <c r="E12" s="28">
        <v>38640201.530000001</v>
      </c>
      <c r="F12" s="28">
        <v>38908288.140000001</v>
      </c>
      <c r="G12" s="28">
        <v>39646442</v>
      </c>
      <c r="H12" s="28">
        <f>39582109</f>
        <v>39582109</v>
      </c>
      <c r="I12" s="28">
        <f>40786159</f>
        <v>40786159</v>
      </c>
      <c r="J12" s="39">
        <v>2</v>
      </c>
      <c r="K12" s="40" t="s">
        <v>2</v>
      </c>
      <c r="L12" s="28">
        <f>41987391</f>
        <v>41987391</v>
      </c>
      <c r="M12" s="28">
        <f>43018448</f>
        <v>43018448</v>
      </c>
      <c r="N12" s="28">
        <f>44033008</f>
        <v>44033008</v>
      </c>
      <c r="O12" s="28">
        <f>45071918</f>
        <v>45071918</v>
      </c>
      <c r="P12" s="28">
        <f>46135762</f>
        <v>46135762</v>
      </c>
      <c r="Q12" s="28">
        <f>47225138</f>
        <v>47225138</v>
      </c>
      <c r="R12" s="28">
        <f>48340659</f>
        <v>48340659</v>
      </c>
      <c r="S12" s="39">
        <v>2</v>
      </c>
      <c r="T12" s="40" t="s">
        <v>2</v>
      </c>
      <c r="U12" s="28">
        <f>49435357</f>
        <v>49435357</v>
      </c>
      <c r="V12" s="28">
        <f>50555233</f>
        <v>50555233</v>
      </c>
      <c r="W12" s="28">
        <f>51700866</f>
        <v>51700866</v>
      </c>
      <c r="X12" s="28">
        <f>52872849</f>
        <v>52872849</v>
      </c>
      <c r="Y12" s="28">
        <f>54071787</f>
        <v>54071787</v>
      </c>
      <c r="Z12" s="28">
        <f>55244974</f>
        <v>55244974</v>
      </c>
      <c r="AA12" s="28">
        <f>56443971</f>
        <v>56443971</v>
      </c>
      <c r="AB12" s="39">
        <v>2</v>
      </c>
      <c r="AC12" s="40" t="s">
        <v>2</v>
      </c>
      <c r="AD12" s="28">
        <f>57669346</f>
        <v>57669346</v>
      </c>
      <c r="AE12" s="28">
        <f>58921679</f>
        <v>58921679</v>
      </c>
      <c r="AF12" s="28">
        <f>60201563</f>
        <v>60201563</v>
      </c>
      <c r="AG12" s="28">
        <f>61450149</f>
        <v>61450149</v>
      </c>
      <c r="AH12" s="28">
        <f>62724955</f>
        <v>62724955</v>
      </c>
      <c r="AI12" s="28">
        <f>64026532</f>
        <v>64026532</v>
      </c>
      <c r="AJ12" s="28">
        <f>65355442</f>
        <v>65355442</v>
      </c>
      <c r="AK12" s="39">
        <v>2</v>
      </c>
      <c r="AL12" s="40" t="s">
        <v>2</v>
      </c>
      <c r="AM12" s="28">
        <f>66712259</f>
        <v>66712259</v>
      </c>
      <c r="AN12" s="28">
        <f>72111602</f>
        <v>72111602</v>
      </c>
      <c r="AO12" s="28">
        <f>73538932</f>
        <v>73538932</v>
      </c>
      <c r="AP12" s="28">
        <f>74994809</f>
        <v>74994809</v>
      </c>
      <c r="AQ12" s="28">
        <f>76479803</f>
        <v>76479803</v>
      </c>
      <c r="AR12" s="28">
        <f>77994497</f>
        <v>77994497</v>
      </c>
      <c r="AS12" s="28">
        <f>79539485</f>
        <v>79539485</v>
      </c>
      <c r="AT12" s="39">
        <v>2</v>
      </c>
      <c r="AU12" s="40" t="s">
        <v>2</v>
      </c>
      <c r="AV12" s="28">
        <f>81115373</f>
        <v>81115373</v>
      </c>
      <c r="AW12" s="28">
        <f>82722778</f>
        <v>82722778</v>
      </c>
    </row>
    <row r="13" spans="1:55" ht="12" customHeight="1">
      <c r="A13" s="45" t="s">
        <v>39</v>
      </c>
      <c r="B13" s="33" t="s">
        <v>3</v>
      </c>
      <c r="C13" s="29">
        <v>12905098.460000001</v>
      </c>
      <c r="D13" s="29">
        <v>20039049.25</v>
      </c>
      <c r="E13" s="29">
        <v>20583236</v>
      </c>
      <c r="F13" s="29">
        <v>20590709</v>
      </c>
      <c r="G13" s="29">
        <v>21250582</v>
      </c>
      <c r="H13" s="29">
        <v>21824347</v>
      </c>
      <c r="I13" s="29">
        <v>22413604</v>
      </c>
      <c r="J13" s="45" t="s">
        <v>39</v>
      </c>
      <c r="K13" s="33" t="s">
        <v>3</v>
      </c>
      <c r="L13" s="29">
        <v>23018771</v>
      </c>
      <c r="M13" s="29">
        <v>23640278</v>
      </c>
      <c r="N13" s="29">
        <v>24278565</v>
      </c>
      <c r="O13" s="29">
        <v>24934086</v>
      </c>
      <c r="P13" s="29">
        <v>25607306</v>
      </c>
      <c r="Q13" s="29">
        <v>26298703</v>
      </c>
      <c r="R13" s="29">
        <v>27008767</v>
      </c>
      <c r="S13" s="45" t="s">
        <v>39</v>
      </c>
      <c r="T13" s="33" t="s">
        <v>3</v>
      </c>
      <c r="U13" s="29">
        <v>27738003</v>
      </c>
      <c r="V13" s="29">
        <v>28486929</v>
      </c>
      <c r="W13" s="29">
        <v>29256076</v>
      </c>
      <c r="X13" s="29">
        <v>30045990</v>
      </c>
      <c r="Y13" s="29">
        <v>30857231</v>
      </c>
      <c r="Z13" s="29">
        <v>31690376</v>
      </c>
      <c r="AA13" s="29">
        <v>32546016</v>
      </c>
      <c r="AB13" s="45" t="s">
        <v>39</v>
      </c>
      <c r="AC13" s="33" t="s">
        <v>3</v>
      </c>
      <c r="AD13" s="29">
        <v>33424758</v>
      </c>
      <c r="AE13" s="29">
        <v>34327226</v>
      </c>
      <c r="AF13" s="29">
        <v>35254061</v>
      </c>
      <c r="AG13" s="29">
        <v>36205920</v>
      </c>
      <c r="AH13" s="29">
        <v>37183479</v>
      </c>
      <c r="AI13" s="29">
        <v>38187432</v>
      </c>
      <c r="AJ13" s="29">
        <v>39218492</v>
      </c>
      <c r="AK13" s="45" t="s">
        <v>39</v>
      </c>
      <c r="AL13" s="33" t="s">
        <v>3</v>
      </c>
      <c r="AM13" s="29">
        <v>40277391</v>
      </c>
      <c r="AN13" s="29">
        <v>41364880</v>
      </c>
      <c r="AO13" s="29">
        <v>42481731</v>
      </c>
      <c r="AP13" s="29">
        <v>43628737</v>
      </c>
      <c r="AQ13" s="29">
        <v>44806712</v>
      </c>
      <c r="AR13" s="29">
        <v>46016493</v>
      </c>
      <c r="AS13" s="29">
        <v>47258938</v>
      </c>
      <c r="AT13" s="45" t="s">
        <v>39</v>
      </c>
      <c r="AU13" s="33" t="s">
        <v>3</v>
      </c>
      <c r="AV13" s="29">
        <v>48534929</v>
      </c>
      <c r="AW13" s="29">
        <v>49845372</v>
      </c>
    </row>
    <row r="14" spans="1:55" ht="12" customHeight="1">
      <c r="A14" s="45" t="s">
        <v>41</v>
      </c>
      <c r="B14" s="33" t="s">
        <v>4</v>
      </c>
      <c r="C14" s="29">
        <v>4262178.28</v>
      </c>
      <c r="D14" s="29">
        <v>4328466.32</v>
      </c>
      <c r="E14" s="29">
        <v>4630600</v>
      </c>
      <c r="F14" s="29">
        <v>4630600</v>
      </c>
      <c r="G14" s="29">
        <v>4635900</v>
      </c>
      <c r="H14" s="29">
        <v>4761000</v>
      </c>
      <c r="I14" s="29">
        <v>4889500</v>
      </c>
      <c r="J14" s="45" t="s">
        <v>41</v>
      </c>
      <c r="K14" s="33" t="s">
        <v>4</v>
      </c>
      <c r="L14" s="29">
        <v>5024500</v>
      </c>
      <c r="M14" s="29">
        <v>5157100</v>
      </c>
      <c r="N14" s="29">
        <v>5296400</v>
      </c>
      <c r="O14" s="29">
        <v>5296400</v>
      </c>
      <c r="P14" s="29">
        <v>5439400</v>
      </c>
      <c r="Q14" s="29">
        <v>5586200</v>
      </c>
      <c r="R14" s="29">
        <v>5737000</v>
      </c>
      <c r="S14" s="45" t="s">
        <v>41</v>
      </c>
      <c r="T14" s="33" t="s">
        <v>4</v>
      </c>
      <c r="U14" s="29">
        <v>5892000</v>
      </c>
      <c r="V14" s="29">
        <v>6051000</v>
      </c>
      <c r="W14" s="29">
        <v>6214400</v>
      </c>
      <c r="X14" s="29">
        <v>6382200</v>
      </c>
      <c r="Y14" s="29">
        <v>6554500</v>
      </c>
      <c r="Z14" s="29">
        <v>6731400</v>
      </c>
      <c r="AA14" s="29">
        <v>6913200</v>
      </c>
      <c r="AB14" s="45" t="s">
        <v>41</v>
      </c>
      <c r="AC14" s="33" t="s">
        <v>4</v>
      </c>
      <c r="AD14" s="29">
        <v>7099800</v>
      </c>
      <c r="AE14" s="29">
        <v>7291500</v>
      </c>
      <c r="AF14" s="29">
        <v>7488300</v>
      </c>
      <c r="AG14" s="29">
        <v>7690500</v>
      </c>
      <c r="AH14" s="29">
        <v>7898200</v>
      </c>
      <c r="AI14" s="29">
        <v>8111400</v>
      </c>
      <c r="AJ14" s="29">
        <v>8330400</v>
      </c>
      <c r="AK14" s="45" t="s">
        <v>41</v>
      </c>
      <c r="AL14" s="33" t="s">
        <v>4</v>
      </c>
      <c r="AM14" s="29">
        <v>8555300</v>
      </c>
      <c r="AN14" s="29">
        <v>8786300</v>
      </c>
      <c r="AO14" s="29">
        <v>9023600</v>
      </c>
      <c r="AP14" s="29">
        <v>9267200</v>
      </c>
      <c r="AQ14" s="29">
        <v>9517400</v>
      </c>
      <c r="AR14" s="29">
        <v>9774400</v>
      </c>
      <c r="AS14" s="29">
        <v>10038300</v>
      </c>
      <c r="AT14" s="45" t="s">
        <v>41</v>
      </c>
      <c r="AU14" s="33" t="s">
        <v>4</v>
      </c>
      <c r="AV14" s="29">
        <v>10309300</v>
      </c>
      <c r="AW14" s="29">
        <v>10587700</v>
      </c>
    </row>
    <row r="15" spans="1:55" ht="12" customHeight="1">
      <c r="A15" s="45" t="s">
        <v>43</v>
      </c>
      <c r="B15" s="33" t="s">
        <v>91</v>
      </c>
      <c r="C15" s="29">
        <v>0</v>
      </c>
      <c r="D15" s="29">
        <v>0</v>
      </c>
      <c r="E15" s="29">
        <v>32700</v>
      </c>
      <c r="F15" s="29">
        <v>0</v>
      </c>
      <c r="G15" s="29">
        <v>29200</v>
      </c>
      <c r="H15" s="29">
        <v>29200</v>
      </c>
      <c r="I15" s="29">
        <v>29100</v>
      </c>
      <c r="J15" s="45" t="s">
        <v>43</v>
      </c>
      <c r="K15" s="33" t="s">
        <v>91</v>
      </c>
      <c r="L15" s="29">
        <v>29000</v>
      </c>
      <c r="M15" s="29">
        <v>28700</v>
      </c>
      <c r="N15" s="29">
        <v>28200</v>
      </c>
      <c r="O15" s="29">
        <v>27600</v>
      </c>
      <c r="P15" s="29">
        <v>27000</v>
      </c>
      <c r="Q15" s="29">
        <v>26400</v>
      </c>
      <c r="R15" s="29">
        <v>25500</v>
      </c>
      <c r="S15" s="45" t="s">
        <v>43</v>
      </c>
      <c r="T15" s="33" t="s">
        <v>91</v>
      </c>
      <c r="U15" s="29">
        <v>24700</v>
      </c>
      <c r="V15" s="29">
        <v>23700</v>
      </c>
      <c r="W15" s="29">
        <v>22700</v>
      </c>
      <c r="X15" s="29">
        <v>21700</v>
      </c>
      <c r="Y15" s="29">
        <v>20600</v>
      </c>
      <c r="Z15" s="29">
        <v>19600</v>
      </c>
      <c r="AA15" s="29">
        <v>18700</v>
      </c>
      <c r="AB15" s="45" t="s">
        <v>43</v>
      </c>
      <c r="AC15" s="33" t="s">
        <v>91</v>
      </c>
      <c r="AD15" s="29">
        <v>17900</v>
      </c>
      <c r="AE15" s="29">
        <v>17100</v>
      </c>
      <c r="AF15" s="29">
        <v>16200</v>
      </c>
      <c r="AG15" s="29">
        <v>15400</v>
      </c>
      <c r="AH15" s="29">
        <v>14857</v>
      </c>
      <c r="AI15" s="29">
        <v>14200</v>
      </c>
      <c r="AJ15" s="29">
        <v>12200</v>
      </c>
      <c r="AK15" s="45" t="s">
        <v>43</v>
      </c>
      <c r="AL15" s="33" t="s">
        <v>91</v>
      </c>
      <c r="AM15" s="29">
        <v>11700</v>
      </c>
      <c r="AN15" s="29">
        <v>11300</v>
      </c>
      <c r="AO15" s="29">
        <v>11200</v>
      </c>
      <c r="AP15" s="29">
        <v>11200</v>
      </c>
      <c r="AQ15" s="29">
        <v>11000</v>
      </c>
      <c r="AR15" s="29">
        <v>11000</v>
      </c>
      <c r="AS15" s="29">
        <v>10067</v>
      </c>
      <c r="AT15" s="45" t="s">
        <v>43</v>
      </c>
      <c r="AU15" s="33" t="s">
        <v>91</v>
      </c>
      <c r="AV15" s="29">
        <v>10000</v>
      </c>
      <c r="AW15" s="29">
        <v>10000</v>
      </c>
      <c r="AX15" s="126"/>
    </row>
    <row r="16" spans="1:55" ht="24" customHeight="1">
      <c r="A16" s="45" t="s">
        <v>45</v>
      </c>
      <c r="B16" s="31" t="s">
        <v>90</v>
      </c>
      <c r="C16" s="29">
        <f>0</f>
        <v>0</v>
      </c>
      <c r="D16" s="29">
        <f>0</f>
        <v>0</v>
      </c>
      <c r="E16" s="29">
        <f>0</f>
        <v>0</v>
      </c>
      <c r="F16" s="29">
        <f>0</f>
        <v>0</v>
      </c>
      <c r="G16" s="29">
        <f>0</f>
        <v>0</v>
      </c>
      <c r="H16" s="29">
        <f>0</f>
        <v>0</v>
      </c>
      <c r="I16" s="29">
        <f>0</f>
        <v>0</v>
      </c>
      <c r="J16" s="45" t="s">
        <v>45</v>
      </c>
      <c r="K16" s="31" t="s">
        <v>90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45" t="s">
        <v>45</v>
      </c>
      <c r="T16" s="31" t="s">
        <v>90</v>
      </c>
      <c r="U16" s="29">
        <f>0</f>
        <v>0</v>
      </c>
      <c r="V16" s="29">
        <f>0</f>
        <v>0</v>
      </c>
      <c r="W16" s="29">
        <f>0</f>
        <v>0</v>
      </c>
      <c r="X16" s="29">
        <f>0</f>
        <v>0</v>
      </c>
      <c r="Y16" s="29">
        <f>0</f>
        <v>0</v>
      </c>
      <c r="Z16" s="29">
        <f>0</f>
        <v>0</v>
      </c>
      <c r="AA16" s="29">
        <f>0</f>
        <v>0</v>
      </c>
      <c r="AB16" s="45" t="s">
        <v>45</v>
      </c>
      <c r="AC16" s="31" t="s">
        <v>90</v>
      </c>
      <c r="AD16" s="29">
        <f>0</f>
        <v>0</v>
      </c>
      <c r="AE16" s="29">
        <f>0</f>
        <v>0</v>
      </c>
      <c r="AF16" s="29">
        <f>0</f>
        <v>0</v>
      </c>
      <c r="AG16" s="29">
        <f>0</f>
        <v>0</v>
      </c>
      <c r="AH16" s="29">
        <f>0</f>
        <v>0</v>
      </c>
      <c r="AI16" s="29">
        <f>0</f>
        <v>0</v>
      </c>
      <c r="AJ16" s="29">
        <f>0</f>
        <v>0</v>
      </c>
      <c r="AK16" s="45" t="s">
        <v>45</v>
      </c>
      <c r="AL16" s="31" t="s">
        <v>90</v>
      </c>
      <c r="AM16" s="29">
        <f>0</f>
        <v>0</v>
      </c>
      <c r="AN16" s="29">
        <f>0</f>
        <v>0</v>
      </c>
      <c r="AO16" s="29">
        <f>0</f>
        <v>0</v>
      </c>
      <c r="AP16" s="29">
        <f>0</f>
        <v>0</v>
      </c>
      <c r="AQ16" s="29">
        <f>0</f>
        <v>0</v>
      </c>
      <c r="AR16" s="29">
        <f>0</f>
        <v>0</v>
      </c>
      <c r="AS16" s="29">
        <f>0</f>
        <v>0</v>
      </c>
      <c r="AT16" s="45" t="s">
        <v>45</v>
      </c>
      <c r="AU16" s="31" t="s">
        <v>90</v>
      </c>
      <c r="AV16" s="29">
        <f>0</f>
        <v>0</v>
      </c>
      <c r="AW16" s="29">
        <f>0</f>
        <v>0</v>
      </c>
    </row>
    <row r="17" spans="1:49" ht="24" customHeight="1">
      <c r="A17" s="45" t="s">
        <v>247</v>
      </c>
      <c r="B17" s="31" t="s">
        <v>248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45" t="s">
        <v>247</v>
      </c>
      <c r="K17" s="31" t="s">
        <v>248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45" t="s">
        <v>247</v>
      </c>
      <c r="T17" s="31" t="s">
        <v>248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45" t="s">
        <v>247</v>
      </c>
      <c r="AC17" s="31" t="s">
        <v>248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45" t="s">
        <v>247</v>
      </c>
      <c r="AL17" s="31" t="s">
        <v>248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45" t="s">
        <v>247</v>
      </c>
      <c r="AU17" s="31" t="s">
        <v>248</v>
      </c>
      <c r="AV17" s="29">
        <v>0</v>
      </c>
      <c r="AW17" s="29">
        <v>0</v>
      </c>
    </row>
    <row r="18" spans="1:49" ht="12" customHeight="1">
      <c r="A18" s="45" t="s">
        <v>47</v>
      </c>
      <c r="B18" s="33" t="s">
        <v>5</v>
      </c>
      <c r="C18" s="29">
        <v>0</v>
      </c>
      <c r="D18" s="29">
        <v>117057.17</v>
      </c>
      <c r="E18" s="29">
        <v>533748</v>
      </c>
      <c r="F18" s="29">
        <v>533748</v>
      </c>
      <c r="G18" s="29">
        <f>SUM('Zał.2 Przeds.'!F7)</f>
        <v>630336</v>
      </c>
      <c r="H18" s="29">
        <f>SUM('Zał.2 Przeds.'!G7)</f>
        <v>383400</v>
      </c>
      <c r="I18" s="29">
        <v>29100</v>
      </c>
      <c r="J18" s="45" t="s">
        <v>47</v>
      </c>
      <c r="K18" s="33" t="s">
        <v>5</v>
      </c>
      <c r="L18" s="29">
        <v>29000</v>
      </c>
      <c r="M18" s="29">
        <v>28700</v>
      </c>
      <c r="N18" s="29">
        <v>28200</v>
      </c>
      <c r="O18" s="29">
        <v>27600</v>
      </c>
      <c r="P18" s="29">
        <v>27000</v>
      </c>
      <c r="Q18" s="29">
        <v>26400</v>
      </c>
      <c r="R18" s="29">
        <v>25500</v>
      </c>
      <c r="S18" s="45" t="s">
        <v>47</v>
      </c>
      <c r="T18" s="33" t="s">
        <v>5</v>
      </c>
      <c r="U18" s="29">
        <v>24700</v>
      </c>
      <c r="V18" s="29">
        <v>23700</v>
      </c>
      <c r="W18" s="29">
        <v>22700</v>
      </c>
      <c r="X18" s="29">
        <v>21700</v>
      </c>
      <c r="Y18" s="29">
        <v>20600</v>
      </c>
      <c r="Z18" s="29">
        <v>19600</v>
      </c>
      <c r="AA18" s="29">
        <v>18700</v>
      </c>
      <c r="AB18" s="45" t="s">
        <v>47</v>
      </c>
      <c r="AC18" s="33" t="s">
        <v>5</v>
      </c>
      <c r="AD18" s="29">
        <v>17900</v>
      </c>
      <c r="AE18" s="29">
        <v>17100</v>
      </c>
      <c r="AF18" s="29">
        <v>16200</v>
      </c>
      <c r="AG18" s="29">
        <v>15400</v>
      </c>
      <c r="AH18" s="29">
        <v>14857</v>
      </c>
      <c r="AI18" s="29">
        <v>14200</v>
      </c>
      <c r="AJ18" s="29">
        <v>12200</v>
      </c>
      <c r="AK18" s="45" t="s">
        <v>47</v>
      </c>
      <c r="AL18" s="33" t="s">
        <v>5</v>
      </c>
      <c r="AM18" s="29">
        <v>11700</v>
      </c>
      <c r="AN18" s="29">
        <v>11300</v>
      </c>
      <c r="AO18" s="29">
        <v>11200</v>
      </c>
      <c r="AP18" s="29">
        <v>11200</v>
      </c>
      <c r="AQ18" s="29">
        <v>11000</v>
      </c>
      <c r="AR18" s="29">
        <v>11000</v>
      </c>
      <c r="AS18" s="29">
        <v>10067</v>
      </c>
      <c r="AT18" s="45" t="s">
        <v>47</v>
      </c>
      <c r="AU18" s="33" t="s">
        <v>5</v>
      </c>
      <c r="AV18" s="29">
        <v>10000</v>
      </c>
      <c r="AW18" s="29">
        <v>10000</v>
      </c>
    </row>
    <row r="19" spans="1:49" ht="24" customHeight="1">
      <c r="A19" s="220" t="s">
        <v>49</v>
      </c>
      <c r="B19" s="223" t="s">
        <v>89</v>
      </c>
      <c r="C19" s="221">
        <v>187765.71</v>
      </c>
      <c r="D19" s="221">
        <v>253481.86</v>
      </c>
      <c r="E19" s="221">
        <v>588783</v>
      </c>
      <c r="F19" s="221">
        <v>595177</v>
      </c>
      <c r="G19" s="221">
        <v>392100</v>
      </c>
      <c r="H19" s="221">
        <v>130000</v>
      </c>
      <c r="I19" s="221">
        <f>0</f>
        <v>0</v>
      </c>
      <c r="J19" s="220" t="s">
        <v>49</v>
      </c>
      <c r="K19" s="223" t="s">
        <v>89</v>
      </c>
      <c r="L19" s="221">
        <f>0</f>
        <v>0</v>
      </c>
      <c r="M19" s="221">
        <f>0</f>
        <v>0</v>
      </c>
      <c r="N19" s="221">
        <f>0</f>
        <v>0</v>
      </c>
      <c r="O19" s="221">
        <f>0</f>
        <v>0</v>
      </c>
      <c r="P19" s="221">
        <f>0</f>
        <v>0</v>
      </c>
      <c r="Q19" s="221">
        <f>0</f>
        <v>0</v>
      </c>
      <c r="R19" s="221">
        <f>0</f>
        <v>0</v>
      </c>
      <c r="S19" s="220" t="s">
        <v>49</v>
      </c>
      <c r="T19" s="223" t="s">
        <v>89</v>
      </c>
      <c r="U19" s="221">
        <f>0</f>
        <v>0</v>
      </c>
      <c r="V19" s="221">
        <f>0</f>
        <v>0</v>
      </c>
      <c r="W19" s="221">
        <f>0</f>
        <v>0</v>
      </c>
      <c r="X19" s="221">
        <f>0</f>
        <v>0</v>
      </c>
      <c r="Y19" s="221">
        <f>0</f>
        <v>0</v>
      </c>
      <c r="Z19" s="221">
        <f>0</f>
        <v>0</v>
      </c>
      <c r="AA19" s="221">
        <f>0</f>
        <v>0</v>
      </c>
      <c r="AB19" s="220" t="s">
        <v>49</v>
      </c>
      <c r="AC19" s="223" t="s">
        <v>89</v>
      </c>
      <c r="AD19" s="221">
        <f>0</f>
        <v>0</v>
      </c>
      <c r="AE19" s="221">
        <f>0</f>
        <v>0</v>
      </c>
      <c r="AF19" s="221">
        <f>0</f>
        <v>0</v>
      </c>
      <c r="AG19" s="221">
        <f>0</f>
        <v>0</v>
      </c>
      <c r="AH19" s="221">
        <f>0</f>
        <v>0</v>
      </c>
      <c r="AI19" s="221">
        <f>0</f>
        <v>0</v>
      </c>
      <c r="AJ19" s="221">
        <f>0</f>
        <v>0</v>
      </c>
      <c r="AK19" s="220" t="s">
        <v>49</v>
      </c>
      <c r="AL19" s="223" t="s">
        <v>89</v>
      </c>
      <c r="AM19" s="221">
        <f>0</f>
        <v>0</v>
      </c>
      <c r="AN19" s="221">
        <f>0</f>
        <v>0</v>
      </c>
      <c r="AO19" s="221">
        <f>0</f>
        <v>0</v>
      </c>
      <c r="AP19" s="221">
        <f>0</f>
        <v>0</v>
      </c>
      <c r="AQ19" s="221">
        <f>0</f>
        <v>0</v>
      </c>
      <c r="AR19" s="221">
        <f>0</f>
        <v>0</v>
      </c>
      <c r="AS19" s="221">
        <f>0</f>
        <v>0</v>
      </c>
      <c r="AT19" s="220" t="s">
        <v>49</v>
      </c>
      <c r="AU19" s="223" t="s">
        <v>89</v>
      </c>
      <c r="AV19" s="221">
        <f>0</f>
        <v>0</v>
      </c>
      <c r="AW19" s="221">
        <f>0</f>
        <v>0</v>
      </c>
    </row>
    <row r="20" spans="1:49" ht="12" customHeight="1">
      <c r="A20" s="41" t="s">
        <v>249</v>
      </c>
      <c r="B20" s="42" t="s">
        <v>250</v>
      </c>
      <c r="C20" s="30">
        <v>163696.72</v>
      </c>
      <c r="D20" s="30">
        <v>224447.76</v>
      </c>
      <c r="E20" s="30">
        <v>524469</v>
      </c>
      <c r="F20" s="30">
        <v>524469</v>
      </c>
      <c r="G20" s="30">
        <v>333535.25</v>
      </c>
      <c r="H20" s="30">
        <v>116350</v>
      </c>
      <c r="I20" s="30">
        <v>0</v>
      </c>
      <c r="J20" s="41" t="s">
        <v>249</v>
      </c>
      <c r="K20" s="42" t="s">
        <v>250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41" t="s">
        <v>249</v>
      </c>
      <c r="T20" s="42" t="s">
        <v>250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41" t="s">
        <v>249</v>
      </c>
      <c r="AC20" s="42" t="s">
        <v>250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41" t="s">
        <v>249</v>
      </c>
      <c r="AL20" s="42" t="s">
        <v>250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41" t="s">
        <v>249</v>
      </c>
      <c r="AU20" s="42" t="s">
        <v>250</v>
      </c>
      <c r="AV20" s="30">
        <v>0</v>
      </c>
      <c r="AW20" s="30">
        <v>0</v>
      </c>
    </row>
    <row r="21" spans="1:49" ht="12" customHeight="1">
      <c r="A21" s="38">
        <v>3</v>
      </c>
      <c r="B21" s="34" t="s">
        <v>51</v>
      </c>
      <c r="C21" s="32">
        <f>SUM(C4-C12)</f>
        <v>9283400.8099999987</v>
      </c>
      <c r="D21" s="32">
        <f t="shared" ref="D21:H21" si="6">SUM(D4-D12)</f>
        <v>8113135.6099999994</v>
      </c>
      <c r="E21" s="32">
        <f t="shared" si="6"/>
        <v>30915896</v>
      </c>
      <c r="F21" s="32">
        <f t="shared" si="6"/>
        <v>24684973</v>
      </c>
      <c r="G21" s="32">
        <f t="shared" si="6"/>
        <v>7859325</v>
      </c>
      <c r="H21" s="32">
        <f t="shared" si="6"/>
        <v>9171541</v>
      </c>
      <c r="I21" s="32">
        <f>SUM(I4-I12)</f>
        <v>9400101</v>
      </c>
      <c r="J21" s="38">
        <v>3</v>
      </c>
      <c r="K21" s="34" t="s">
        <v>51</v>
      </c>
      <c r="L21" s="32">
        <f t="shared" ref="L21:Q21" si="7">SUM(L4-L12)</f>
        <v>8674509</v>
      </c>
      <c r="M21" s="32">
        <f t="shared" si="7"/>
        <v>9163252</v>
      </c>
      <c r="N21" s="32">
        <f t="shared" si="7"/>
        <v>9714192</v>
      </c>
      <c r="O21" s="32">
        <f t="shared" si="7"/>
        <v>10287682</v>
      </c>
      <c r="P21" s="32">
        <f t="shared" si="7"/>
        <v>10884638</v>
      </c>
      <c r="Q21" s="32">
        <f t="shared" si="7"/>
        <v>11505862</v>
      </c>
      <c r="R21" s="32">
        <f>SUM(R4-R12)</f>
        <v>12152241</v>
      </c>
      <c r="S21" s="38">
        <v>3</v>
      </c>
      <c r="T21" s="34" t="s">
        <v>51</v>
      </c>
      <c r="U21" s="32">
        <f t="shared" ref="U21:Z21" si="8">SUM(U4-U12)</f>
        <v>12625411</v>
      </c>
      <c r="V21" s="32">
        <f t="shared" si="8"/>
        <v>12920053</v>
      </c>
      <c r="W21" s="32">
        <f t="shared" si="8"/>
        <v>13221472</v>
      </c>
      <c r="X21" s="32">
        <f t="shared" si="8"/>
        <v>13529823</v>
      </c>
      <c r="Y21" s="32">
        <f t="shared" si="8"/>
        <v>13845266</v>
      </c>
      <c r="Z21" s="32">
        <f t="shared" si="8"/>
        <v>14153934</v>
      </c>
      <c r="AA21" s="32">
        <f>SUM(AA4-AA12)</f>
        <v>14469393</v>
      </c>
      <c r="AB21" s="38">
        <v>3</v>
      </c>
      <c r="AC21" s="34" t="s">
        <v>51</v>
      </c>
      <c r="AD21" s="32">
        <f t="shared" ref="AD21:AI21" si="9">SUM(AD4-AD12)</f>
        <v>14791792</v>
      </c>
      <c r="AE21" s="32">
        <f t="shared" si="9"/>
        <v>15121284</v>
      </c>
      <c r="AF21" s="32">
        <f t="shared" si="9"/>
        <v>15458025</v>
      </c>
      <c r="AG21" s="32">
        <f t="shared" si="9"/>
        <v>15786530</v>
      </c>
      <c r="AH21" s="32">
        <f t="shared" si="9"/>
        <v>16121934</v>
      </c>
      <c r="AI21" s="32">
        <f t="shared" si="9"/>
        <v>16464382</v>
      </c>
      <c r="AJ21" s="32">
        <f>SUM(AJ4-AJ12)</f>
        <v>16814021</v>
      </c>
      <c r="AK21" s="38">
        <v>3</v>
      </c>
      <c r="AL21" s="34" t="s">
        <v>51</v>
      </c>
      <c r="AM21" s="32">
        <f t="shared" ref="AM21:AR21" si="10">SUM(AM4-AM12)</f>
        <v>17171003</v>
      </c>
      <c r="AN21" s="32">
        <f t="shared" si="10"/>
        <v>13438125</v>
      </c>
      <c r="AO21" s="32">
        <f t="shared" si="10"/>
        <v>13710590</v>
      </c>
      <c r="AP21" s="32">
        <f t="shared" si="10"/>
        <v>13988503</v>
      </c>
      <c r="AQ21" s="32">
        <f t="shared" si="10"/>
        <v>14271975</v>
      </c>
      <c r="AR21" s="32">
        <f t="shared" si="10"/>
        <v>14561117</v>
      </c>
      <c r="AS21" s="32">
        <f>SUM(AS4-AS12)</f>
        <v>14856041</v>
      </c>
      <c r="AT21" s="38">
        <v>3</v>
      </c>
      <c r="AU21" s="34" t="s">
        <v>51</v>
      </c>
      <c r="AV21" s="32">
        <f t="shared" ref="AV21:AW21" si="11">SUM(AV4-AV12)</f>
        <v>15156864</v>
      </c>
      <c r="AW21" s="32">
        <f t="shared" si="11"/>
        <v>15463704</v>
      </c>
    </row>
    <row r="22" spans="1:49" ht="24" customHeight="1">
      <c r="A22" s="39" t="s">
        <v>252</v>
      </c>
      <c r="B22" s="40" t="s">
        <v>251</v>
      </c>
      <c r="C22" s="28">
        <v>0</v>
      </c>
      <c r="D22" s="28">
        <v>0</v>
      </c>
      <c r="E22" s="28">
        <v>0</v>
      </c>
      <c r="F22" s="28">
        <v>0</v>
      </c>
      <c r="G22" s="28">
        <f>0</f>
        <v>0</v>
      </c>
      <c r="H22" s="28">
        <f>0</f>
        <v>0</v>
      </c>
      <c r="I22" s="28">
        <f>0</f>
        <v>0</v>
      </c>
      <c r="J22" s="39" t="s">
        <v>252</v>
      </c>
      <c r="K22" s="40" t="s">
        <v>251</v>
      </c>
      <c r="L22" s="28">
        <f>0</f>
        <v>0</v>
      </c>
      <c r="M22" s="28">
        <f>0</f>
        <v>0</v>
      </c>
      <c r="N22" s="28">
        <f>0</f>
        <v>0</v>
      </c>
      <c r="O22" s="28">
        <f>0</f>
        <v>0</v>
      </c>
      <c r="P22" s="28">
        <f>0</f>
        <v>0</v>
      </c>
      <c r="Q22" s="28">
        <f>0</f>
        <v>0</v>
      </c>
      <c r="R22" s="28">
        <f>0</f>
        <v>0</v>
      </c>
      <c r="S22" s="39" t="s">
        <v>252</v>
      </c>
      <c r="T22" s="40" t="s">
        <v>251</v>
      </c>
      <c r="U22" s="28">
        <f>0</f>
        <v>0</v>
      </c>
      <c r="V22" s="28">
        <f>0</f>
        <v>0</v>
      </c>
      <c r="W22" s="28">
        <f>0</f>
        <v>0</v>
      </c>
      <c r="X22" s="28">
        <f>0</f>
        <v>0</v>
      </c>
      <c r="Y22" s="28">
        <f>0</f>
        <v>0</v>
      </c>
      <c r="Z22" s="28">
        <f>0</f>
        <v>0</v>
      </c>
      <c r="AA22" s="28">
        <f>0</f>
        <v>0</v>
      </c>
      <c r="AB22" s="39" t="s">
        <v>252</v>
      </c>
      <c r="AC22" s="40" t="s">
        <v>251</v>
      </c>
      <c r="AD22" s="28">
        <f>0</f>
        <v>0</v>
      </c>
      <c r="AE22" s="28">
        <f>0</f>
        <v>0</v>
      </c>
      <c r="AF22" s="28">
        <f>0</f>
        <v>0</v>
      </c>
      <c r="AG22" s="28">
        <f>0</f>
        <v>0</v>
      </c>
      <c r="AH22" s="28">
        <f>0</f>
        <v>0</v>
      </c>
      <c r="AI22" s="28">
        <f>0</f>
        <v>0</v>
      </c>
      <c r="AJ22" s="28">
        <f>0</f>
        <v>0</v>
      </c>
      <c r="AK22" s="39" t="s">
        <v>252</v>
      </c>
      <c r="AL22" s="40" t="s">
        <v>251</v>
      </c>
      <c r="AM22" s="28">
        <f>0</f>
        <v>0</v>
      </c>
      <c r="AN22" s="28">
        <f>0</f>
        <v>0</v>
      </c>
      <c r="AO22" s="28">
        <f>0</f>
        <v>0</v>
      </c>
      <c r="AP22" s="28">
        <f>0</f>
        <v>0</v>
      </c>
      <c r="AQ22" s="28">
        <f>0</f>
        <v>0</v>
      </c>
      <c r="AR22" s="28">
        <f>0</f>
        <v>0</v>
      </c>
      <c r="AS22" s="28">
        <f>0</f>
        <v>0</v>
      </c>
      <c r="AT22" s="39" t="s">
        <v>252</v>
      </c>
      <c r="AU22" s="40" t="s">
        <v>251</v>
      </c>
      <c r="AV22" s="28">
        <f>0</f>
        <v>0</v>
      </c>
      <c r="AW22" s="28">
        <f>0</f>
        <v>0</v>
      </c>
    </row>
    <row r="23" spans="1:49" ht="12" customHeight="1">
      <c r="A23" s="220" t="s">
        <v>253</v>
      </c>
      <c r="B23" s="223" t="s">
        <v>15</v>
      </c>
      <c r="C23" s="221">
        <v>0</v>
      </c>
      <c r="D23" s="221">
        <v>0</v>
      </c>
      <c r="E23" s="221">
        <v>0</v>
      </c>
      <c r="F23" s="221">
        <v>0</v>
      </c>
      <c r="G23" s="221">
        <f>0</f>
        <v>0</v>
      </c>
      <c r="H23" s="221">
        <f>0</f>
        <v>0</v>
      </c>
      <c r="I23" s="221">
        <f>0</f>
        <v>0</v>
      </c>
      <c r="J23" s="220" t="s">
        <v>253</v>
      </c>
      <c r="K23" s="223" t="s">
        <v>15</v>
      </c>
      <c r="L23" s="221">
        <f>0</f>
        <v>0</v>
      </c>
      <c r="M23" s="221">
        <f>0</f>
        <v>0</v>
      </c>
      <c r="N23" s="221">
        <f>0</f>
        <v>0</v>
      </c>
      <c r="O23" s="221">
        <f>0</f>
        <v>0</v>
      </c>
      <c r="P23" s="221">
        <f>0</f>
        <v>0</v>
      </c>
      <c r="Q23" s="221">
        <f>0</f>
        <v>0</v>
      </c>
      <c r="R23" s="221">
        <f>0</f>
        <v>0</v>
      </c>
      <c r="S23" s="220" t="s">
        <v>253</v>
      </c>
      <c r="T23" s="223" t="s">
        <v>15</v>
      </c>
      <c r="U23" s="221">
        <f>0</f>
        <v>0</v>
      </c>
      <c r="V23" s="221">
        <f>0</f>
        <v>0</v>
      </c>
      <c r="W23" s="221">
        <f>0</f>
        <v>0</v>
      </c>
      <c r="X23" s="221">
        <f>0</f>
        <v>0</v>
      </c>
      <c r="Y23" s="221">
        <f>0</f>
        <v>0</v>
      </c>
      <c r="Z23" s="221">
        <f>0</f>
        <v>0</v>
      </c>
      <c r="AA23" s="221">
        <f>0</f>
        <v>0</v>
      </c>
      <c r="AB23" s="220" t="s">
        <v>253</v>
      </c>
      <c r="AC23" s="223" t="s">
        <v>15</v>
      </c>
      <c r="AD23" s="221">
        <f>0</f>
        <v>0</v>
      </c>
      <c r="AE23" s="221">
        <f>0</f>
        <v>0</v>
      </c>
      <c r="AF23" s="221">
        <f>0</f>
        <v>0</v>
      </c>
      <c r="AG23" s="221">
        <f>0</f>
        <v>0</v>
      </c>
      <c r="AH23" s="221">
        <f>0</f>
        <v>0</v>
      </c>
      <c r="AI23" s="221">
        <f>0</f>
        <v>0</v>
      </c>
      <c r="AJ23" s="221">
        <f>0</f>
        <v>0</v>
      </c>
      <c r="AK23" s="220" t="s">
        <v>253</v>
      </c>
      <c r="AL23" s="223" t="s">
        <v>15</v>
      </c>
      <c r="AM23" s="221">
        <f>0</f>
        <v>0</v>
      </c>
      <c r="AN23" s="221">
        <f>0</f>
        <v>0</v>
      </c>
      <c r="AO23" s="221">
        <f>0</f>
        <v>0</v>
      </c>
      <c r="AP23" s="221">
        <f>0</f>
        <v>0</v>
      </c>
      <c r="AQ23" s="221">
        <f>0</f>
        <v>0</v>
      </c>
      <c r="AR23" s="221">
        <f>0</f>
        <v>0</v>
      </c>
      <c r="AS23" s="221">
        <f>0</f>
        <v>0</v>
      </c>
      <c r="AT23" s="220" t="s">
        <v>253</v>
      </c>
      <c r="AU23" s="223" t="s">
        <v>15</v>
      </c>
      <c r="AV23" s="221">
        <f>0</f>
        <v>0</v>
      </c>
      <c r="AW23" s="221">
        <f>0</f>
        <v>0</v>
      </c>
    </row>
    <row r="24" spans="1:49" s="118" customFormat="1" ht="24" customHeight="1">
      <c r="A24" s="233" t="s">
        <v>254</v>
      </c>
      <c r="B24" s="234" t="s">
        <v>255</v>
      </c>
      <c r="C24" s="235">
        <v>936375.85</v>
      </c>
      <c r="D24" s="235">
        <v>2772285.7</v>
      </c>
      <c r="E24" s="235">
        <v>2</v>
      </c>
      <c r="F24" s="235">
        <v>2</v>
      </c>
      <c r="G24" s="235">
        <v>0</v>
      </c>
      <c r="H24" s="235">
        <v>0</v>
      </c>
      <c r="I24" s="235">
        <v>0</v>
      </c>
      <c r="J24" s="233" t="s">
        <v>254</v>
      </c>
      <c r="K24" s="234" t="s">
        <v>255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3" t="s">
        <v>254</v>
      </c>
      <c r="T24" s="234" t="s">
        <v>255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  <c r="Z24" s="235">
        <v>0</v>
      </c>
      <c r="AA24" s="235">
        <v>0</v>
      </c>
      <c r="AB24" s="233" t="s">
        <v>254</v>
      </c>
      <c r="AC24" s="234" t="s">
        <v>255</v>
      </c>
      <c r="AD24" s="235"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3" t="s">
        <v>254</v>
      </c>
      <c r="AL24" s="234" t="s">
        <v>255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0</v>
      </c>
      <c r="AS24" s="235">
        <v>0</v>
      </c>
      <c r="AT24" s="233" t="s">
        <v>254</v>
      </c>
      <c r="AU24" s="234" t="s">
        <v>255</v>
      </c>
      <c r="AV24" s="235">
        <v>0</v>
      </c>
      <c r="AW24" s="235">
        <v>0</v>
      </c>
    </row>
    <row r="25" spans="1:49" ht="12" customHeight="1">
      <c r="A25" s="41" t="s">
        <v>256</v>
      </c>
      <c r="B25" s="42" t="s">
        <v>15</v>
      </c>
      <c r="C25" s="30">
        <v>936375.85</v>
      </c>
      <c r="D25" s="30">
        <v>269888.11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41" t="s">
        <v>256</v>
      </c>
      <c r="K25" s="42" t="s">
        <v>15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41" t="s">
        <v>256</v>
      </c>
      <c r="T25" s="42" t="s">
        <v>15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41" t="s">
        <v>256</v>
      </c>
      <c r="AC25" s="42" t="s">
        <v>15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41" t="s">
        <v>256</v>
      </c>
      <c r="AL25" s="42" t="s">
        <v>15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41" t="s">
        <v>256</v>
      </c>
      <c r="AU25" s="42" t="s">
        <v>15</v>
      </c>
      <c r="AV25" s="30">
        <v>0</v>
      </c>
      <c r="AW25" s="30">
        <v>0</v>
      </c>
    </row>
    <row r="26" spans="1:49" ht="12" customHeight="1">
      <c r="A26" s="39">
        <v>5</v>
      </c>
      <c r="B26" s="40" t="s">
        <v>54</v>
      </c>
      <c r="C26" s="28">
        <f>0</f>
        <v>0</v>
      </c>
      <c r="D26" s="28">
        <f>0</f>
        <v>0</v>
      </c>
      <c r="E26" s="28">
        <f>0</f>
        <v>0</v>
      </c>
      <c r="F26" s="28">
        <f>0</f>
        <v>0</v>
      </c>
      <c r="G26" s="28">
        <f>0</f>
        <v>0</v>
      </c>
      <c r="H26" s="28">
        <f>0</f>
        <v>0</v>
      </c>
      <c r="I26" s="28">
        <f>0</f>
        <v>0</v>
      </c>
      <c r="J26" s="39">
        <v>5</v>
      </c>
      <c r="K26" s="40" t="s">
        <v>54</v>
      </c>
      <c r="L26" s="28">
        <f>0</f>
        <v>0</v>
      </c>
      <c r="M26" s="28">
        <f>0</f>
        <v>0</v>
      </c>
      <c r="N26" s="28">
        <f>0</f>
        <v>0</v>
      </c>
      <c r="O26" s="28">
        <f>0</f>
        <v>0</v>
      </c>
      <c r="P26" s="28">
        <f>0</f>
        <v>0</v>
      </c>
      <c r="Q26" s="28">
        <f>0</f>
        <v>0</v>
      </c>
      <c r="R26" s="28">
        <f>0</f>
        <v>0</v>
      </c>
      <c r="S26" s="39">
        <v>5</v>
      </c>
      <c r="T26" s="40" t="s">
        <v>54</v>
      </c>
      <c r="U26" s="28">
        <f>0</f>
        <v>0</v>
      </c>
      <c r="V26" s="28">
        <f>0</f>
        <v>0</v>
      </c>
      <c r="W26" s="28">
        <f>0</f>
        <v>0</v>
      </c>
      <c r="X26" s="28">
        <f>0</f>
        <v>0</v>
      </c>
      <c r="Y26" s="28">
        <f>0</f>
        <v>0</v>
      </c>
      <c r="Z26" s="28">
        <f>0</f>
        <v>0</v>
      </c>
      <c r="AA26" s="28">
        <f>0</f>
        <v>0</v>
      </c>
      <c r="AB26" s="39">
        <v>5</v>
      </c>
      <c r="AC26" s="40" t="s">
        <v>54</v>
      </c>
      <c r="AD26" s="28">
        <f>0</f>
        <v>0</v>
      </c>
      <c r="AE26" s="28">
        <f>0</f>
        <v>0</v>
      </c>
      <c r="AF26" s="28">
        <f>0</f>
        <v>0</v>
      </c>
      <c r="AG26" s="28">
        <f>0</f>
        <v>0</v>
      </c>
      <c r="AH26" s="28">
        <f>0</f>
        <v>0</v>
      </c>
      <c r="AI26" s="28">
        <f>0</f>
        <v>0</v>
      </c>
      <c r="AJ26" s="28">
        <f>0</f>
        <v>0</v>
      </c>
      <c r="AK26" s="39">
        <v>5</v>
      </c>
      <c r="AL26" s="40" t="s">
        <v>54</v>
      </c>
      <c r="AM26" s="28">
        <f>0</f>
        <v>0</v>
      </c>
      <c r="AN26" s="28">
        <f>0</f>
        <v>0</v>
      </c>
      <c r="AO26" s="28">
        <f>0</f>
        <v>0</v>
      </c>
      <c r="AP26" s="28">
        <f>0</f>
        <v>0</v>
      </c>
      <c r="AQ26" s="28">
        <f>0</f>
        <v>0</v>
      </c>
      <c r="AR26" s="28">
        <f>0</f>
        <v>0</v>
      </c>
      <c r="AS26" s="28">
        <f>0</f>
        <v>0</v>
      </c>
      <c r="AT26" s="39">
        <v>5</v>
      </c>
      <c r="AU26" s="40" t="s">
        <v>54</v>
      </c>
      <c r="AV26" s="28">
        <f>0</f>
        <v>0</v>
      </c>
      <c r="AW26" s="28">
        <f>0</f>
        <v>0</v>
      </c>
    </row>
    <row r="27" spans="1:49" ht="12" customHeight="1">
      <c r="A27" s="41" t="s">
        <v>55</v>
      </c>
      <c r="B27" s="42" t="s">
        <v>15</v>
      </c>
      <c r="C27" s="30">
        <f>0</f>
        <v>0</v>
      </c>
      <c r="D27" s="30">
        <f>0</f>
        <v>0</v>
      </c>
      <c r="E27" s="30">
        <f>0</f>
        <v>0</v>
      </c>
      <c r="F27" s="30">
        <f>0</f>
        <v>0</v>
      </c>
      <c r="G27" s="30">
        <f>0</f>
        <v>0</v>
      </c>
      <c r="H27" s="30">
        <f>0</f>
        <v>0</v>
      </c>
      <c r="I27" s="30">
        <f>0</f>
        <v>0</v>
      </c>
      <c r="J27" s="41" t="s">
        <v>55</v>
      </c>
      <c r="K27" s="42" t="s">
        <v>15</v>
      </c>
      <c r="L27" s="30">
        <f>0</f>
        <v>0</v>
      </c>
      <c r="M27" s="30">
        <f>0</f>
        <v>0</v>
      </c>
      <c r="N27" s="30">
        <f>0</f>
        <v>0</v>
      </c>
      <c r="O27" s="30">
        <f>0</f>
        <v>0</v>
      </c>
      <c r="P27" s="30">
        <f>0</f>
        <v>0</v>
      </c>
      <c r="Q27" s="30">
        <f>0</f>
        <v>0</v>
      </c>
      <c r="R27" s="30">
        <f>0</f>
        <v>0</v>
      </c>
      <c r="S27" s="41" t="s">
        <v>55</v>
      </c>
      <c r="T27" s="42" t="s">
        <v>15</v>
      </c>
      <c r="U27" s="30">
        <f>0</f>
        <v>0</v>
      </c>
      <c r="V27" s="30">
        <f>0</f>
        <v>0</v>
      </c>
      <c r="W27" s="30">
        <f>0</f>
        <v>0</v>
      </c>
      <c r="X27" s="30">
        <f>0</f>
        <v>0</v>
      </c>
      <c r="Y27" s="30">
        <f>0</f>
        <v>0</v>
      </c>
      <c r="Z27" s="30">
        <f>0</f>
        <v>0</v>
      </c>
      <c r="AA27" s="30">
        <f>0</f>
        <v>0</v>
      </c>
      <c r="AB27" s="41" t="s">
        <v>55</v>
      </c>
      <c r="AC27" s="42" t="s">
        <v>15</v>
      </c>
      <c r="AD27" s="30">
        <f>0</f>
        <v>0</v>
      </c>
      <c r="AE27" s="30">
        <f>0</f>
        <v>0</v>
      </c>
      <c r="AF27" s="30">
        <f>0</f>
        <v>0</v>
      </c>
      <c r="AG27" s="30">
        <f>0</f>
        <v>0</v>
      </c>
      <c r="AH27" s="30">
        <f>0</f>
        <v>0</v>
      </c>
      <c r="AI27" s="30">
        <f>0</f>
        <v>0</v>
      </c>
      <c r="AJ27" s="30">
        <f>0</f>
        <v>0</v>
      </c>
      <c r="AK27" s="41" t="s">
        <v>55</v>
      </c>
      <c r="AL27" s="42" t="s">
        <v>15</v>
      </c>
      <c r="AM27" s="30">
        <f>0</f>
        <v>0</v>
      </c>
      <c r="AN27" s="30">
        <f>0</f>
        <v>0</v>
      </c>
      <c r="AO27" s="30">
        <f>0</f>
        <v>0</v>
      </c>
      <c r="AP27" s="30">
        <f>0</f>
        <v>0</v>
      </c>
      <c r="AQ27" s="30">
        <f>0</f>
        <v>0</v>
      </c>
      <c r="AR27" s="30">
        <f>0</f>
        <v>0</v>
      </c>
      <c r="AS27" s="30">
        <f>0</f>
        <v>0</v>
      </c>
      <c r="AT27" s="41" t="s">
        <v>55</v>
      </c>
      <c r="AU27" s="42" t="s">
        <v>15</v>
      </c>
      <c r="AV27" s="30">
        <f>0</f>
        <v>0</v>
      </c>
      <c r="AW27" s="30">
        <f>0</f>
        <v>0</v>
      </c>
    </row>
    <row r="28" spans="1:49" ht="12" customHeight="1">
      <c r="A28" s="38">
        <v>6</v>
      </c>
      <c r="B28" s="34" t="s">
        <v>290</v>
      </c>
      <c r="C28" s="32">
        <f>SUM(C21,C22,C24,C26)</f>
        <v>10219776.659999998</v>
      </c>
      <c r="D28" s="32">
        <f t="shared" ref="D28:I28" si="12">SUM(D21,D22,D24,D26)</f>
        <v>10885421.309999999</v>
      </c>
      <c r="E28" s="32">
        <f t="shared" si="12"/>
        <v>30915898</v>
      </c>
      <c r="F28" s="32">
        <f t="shared" si="12"/>
        <v>24684975</v>
      </c>
      <c r="G28" s="32">
        <f t="shared" si="12"/>
        <v>7859325</v>
      </c>
      <c r="H28" s="32">
        <f t="shared" si="12"/>
        <v>9171541</v>
      </c>
      <c r="I28" s="32">
        <f t="shared" si="12"/>
        <v>9400101</v>
      </c>
      <c r="J28" s="38">
        <v>6</v>
      </c>
      <c r="K28" s="34" t="s">
        <v>290</v>
      </c>
      <c r="L28" s="32">
        <f t="shared" ref="L28:R28" si="13">SUM(L21,L22,L24,L26)</f>
        <v>8674509</v>
      </c>
      <c r="M28" s="32">
        <f t="shared" si="13"/>
        <v>9163252</v>
      </c>
      <c r="N28" s="32">
        <f t="shared" si="13"/>
        <v>9714192</v>
      </c>
      <c r="O28" s="32">
        <f t="shared" si="13"/>
        <v>10287682</v>
      </c>
      <c r="P28" s="32">
        <f t="shared" si="13"/>
        <v>10884638</v>
      </c>
      <c r="Q28" s="32">
        <f t="shared" si="13"/>
        <v>11505862</v>
      </c>
      <c r="R28" s="32">
        <f t="shared" si="13"/>
        <v>12152241</v>
      </c>
      <c r="S28" s="38">
        <v>6</v>
      </c>
      <c r="T28" s="34" t="s">
        <v>290</v>
      </c>
      <c r="U28" s="32">
        <f t="shared" ref="U28:AA28" si="14">SUM(U21,U22,U24,U26)</f>
        <v>12625411</v>
      </c>
      <c r="V28" s="32">
        <f t="shared" si="14"/>
        <v>12920053</v>
      </c>
      <c r="W28" s="32">
        <f t="shared" si="14"/>
        <v>13221472</v>
      </c>
      <c r="X28" s="32">
        <f t="shared" si="14"/>
        <v>13529823</v>
      </c>
      <c r="Y28" s="32">
        <f t="shared" si="14"/>
        <v>13845266</v>
      </c>
      <c r="Z28" s="32">
        <f t="shared" si="14"/>
        <v>14153934</v>
      </c>
      <c r="AA28" s="32">
        <f t="shared" si="14"/>
        <v>14469393</v>
      </c>
      <c r="AB28" s="38">
        <v>6</v>
      </c>
      <c r="AC28" s="34" t="s">
        <v>290</v>
      </c>
      <c r="AD28" s="32">
        <f t="shared" ref="AD28:AJ28" si="15">SUM(AD21,AD22,AD24,AD26)</f>
        <v>14791792</v>
      </c>
      <c r="AE28" s="32">
        <f t="shared" si="15"/>
        <v>15121284</v>
      </c>
      <c r="AF28" s="32">
        <f t="shared" si="15"/>
        <v>15458025</v>
      </c>
      <c r="AG28" s="32">
        <f t="shared" si="15"/>
        <v>15786530</v>
      </c>
      <c r="AH28" s="32">
        <f t="shared" si="15"/>
        <v>16121934</v>
      </c>
      <c r="AI28" s="32">
        <f t="shared" si="15"/>
        <v>16464382</v>
      </c>
      <c r="AJ28" s="32">
        <f t="shared" si="15"/>
        <v>16814021</v>
      </c>
      <c r="AK28" s="38">
        <v>6</v>
      </c>
      <c r="AL28" s="34" t="s">
        <v>290</v>
      </c>
      <c r="AM28" s="32">
        <f t="shared" ref="AM28:AS28" si="16">SUM(AM21,AM22,AM24,AM26)</f>
        <v>17171003</v>
      </c>
      <c r="AN28" s="32">
        <f t="shared" si="16"/>
        <v>13438125</v>
      </c>
      <c r="AO28" s="32">
        <f t="shared" si="16"/>
        <v>13710590</v>
      </c>
      <c r="AP28" s="32">
        <f t="shared" si="16"/>
        <v>13988503</v>
      </c>
      <c r="AQ28" s="32">
        <f t="shared" si="16"/>
        <v>14271975</v>
      </c>
      <c r="AR28" s="32">
        <f t="shared" si="16"/>
        <v>14561117</v>
      </c>
      <c r="AS28" s="32">
        <f t="shared" si="16"/>
        <v>14856041</v>
      </c>
      <c r="AT28" s="38">
        <v>6</v>
      </c>
      <c r="AU28" s="34" t="s">
        <v>290</v>
      </c>
      <c r="AV28" s="32">
        <f t="shared" ref="AV28:AW28" si="17">SUM(AV21,AV22,AV24,AV26)</f>
        <v>15156864</v>
      </c>
      <c r="AW28" s="32">
        <f t="shared" si="17"/>
        <v>15463704</v>
      </c>
    </row>
    <row r="29" spans="1:49" ht="12" customHeight="1">
      <c r="A29" s="39">
        <v>7</v>
      </c>
      <c r="B29" s="40" t="s">
        <v>292</v>
      </c>
      <c r="C29" s="28">
        <f>SUM(C30,C32)</f>
        <v>4439168.74</v>
      </c>
      <c r="D29" s="28">
        <f t="shared" ref="D29:H29" si="18">SUM(D30,D32)</f>
        <v>5517260.6200000001</v>
      </c>
      <c r="E29" s="28">
        <f t="shared" si="18"/>
        <v>6615402</v>
      </c>
      <c r="F29" s="28">
        <f t="shared" si="18"/>
        <v>6615402</v>
      </c>
      <c r="G29" s="28">
        <f t="shared" si="18"/>
        <v>6777929</v>
      </c>
      <c r="H29" s="28">
        <f t="shared" si="18"/>
        <v>6059069</v>
      </c>
      <c r="I29" s="28">
        <f>SUM(I30,I32)</f>
        <v>4856215</v>
      </c>
      <c r="J29" s="39">
        <v>7</v>
      </c>
      <c r="K29" s="40" t="s">
        <v>292</v>
      </c>
      <c r="L29" s="28">
        <f t="shared" ref="L29:Q29" si="19">SUM(L30,L32)</f>
        <v>3508586.75</v>
      </c>
      <c r="M29" s="28">
        <f t="shared" si="19"/>
        <v>1277975</v>
      </c>
      <c r="N29" s="28">
        <f t="shared" si="19"/>
        <v>958147</v>
      </c>
      <c r="O29" s="28">
        <f t="shared" si="19"/>
        <v>514140</v>
      </c>
      <c r="P29" s="28">
        <f t="shared" si="19"/>
        <v>455770</v>
      </c>
      <c r="Q29" s="28">
        <f t="shared" si="19"/>
        <v>394870</v>
      </c>
      <c r="R29" s="28">
        <f>SUM(R30,R32)</f>
        <v>335230</v>
      </c>
      <c r="S29" s="39">
        <v>7</v>
      </c>
      <c r="T29" s="40" t="s">
        <v>292</v>
      </c>
      <c r="U29" s="28">
        <f t="shared" ref="U29:Z29" si="20">SUM(U30,U32)</f>
        <v>275600</v>
      </c>
      <c r="V29" s="28">
        <f t="shared" si="20"/>
        <v>216570</v>
      </c>
      <c r="W29" s="28">
        <f t="shared" si="20"/>
        <v>156000</v>
      </c>
      <c r="X29" s="28">
        <f t="shared" si="20"/>
        <v>96690</v>
      </c>
      <c r="Y29" s="28">
        <f t="shared" si="20"/>
        <v>37050</v>
      </c>
      <c r="Z29" s="28">
        <f t="shared" si="20"/>
        <v>0</v>
      </c>
      <c r="AA29" s="28">
        <f>SUM(AA30,AA32)</f>
        <v>0</v>
      </c>
      <c r="AB29" s="39">
        <v>7</v>
      </c>
      <c r="AC29" s="40" t="s">
        <v>292</v>
      </c>
      <c r="AD29" s="28">
        <f t="shared" ref="AD29:AI29" si="21">SUM(AD30,AD32)</f>
        <v>0</v>
      </c>
      <c r="AE29" s="28">
        <f t="shared" si="21"/>
        <v>0</v>
      </c>
      <c r="AF29" s="28">
        <f t="shared" si="21"/>
        <v>0</v>
      </c>
      <c r="AG29" s="28">
        <f t="shared" si="21"/>
        <v>0</v>
      </c>
      <c r="AH29" s="28">
        <f t="shared" si="21"/>
        <v>0</v>
      </c>
      <c r="AI29" s="28">
        <f t="shared" si="21"/>
        <v>0</v>
      </c>
      <c r="AJ29" s="28">
        <f>SUM(AJ30,AJ32)</f>
        <v>0</v>
      </c>
      <c r="AK29" s="39">
        <v>7</v>
      </c>
      <c r="AL29" s="40" t="s">
        <v>292</v>
      </c>
      <c r="AM29" s="28">
        <f t="shared" ref="AM29:AR29" si="22">SUM(AM30,AM32)</f>
        <v>0</v>
      </c>
      <c r="AN29" s="28">
        <f t="shared" si="22"/>
        <v>0</v>
      </c>
      <c r="AO29" s="28">
        <f t="shared" si="22"/>
        <v>0</v>
      </c>
      <c r="AP29" s="28">
        <f t="shared" si="22"/>
        <v>0</v>
      </c>
      <c r="AQ29" s="28">
        <f t="shared" si="22"/>
        <v>0</v>
      </c>
      <c r="AR29" s="28">
        <f t="shared" si="22"/>
        <v>0</v>
      </c>
      <c r="AS29" s="28">
        <f>SUM(AS30,AS32)</f>
        <v>0</v>
      </c>
      <c r="AT29" s="39">
        <v>7</v>
      </c>
      <c r="AU29" s="40" t="s">
        <v>292</v>
      </c>
      <c r="AV29" s="28">
        <f t="shared" ref="AV29:AW29" si="23">SUM(AV30,AV32)</f>
        <v>0</v>
      </c>
      <c r="AW29" s="28">
        <f t="shared" si="23"/>
        <v>0</v>
      </c>
    </row>
    <row r="30" spans="1:49" ht="24" customHeight="1">
      <c r="A30" s="45" t="s">
        <v>57</v>
      </c>
      <c r="B30" s="33" t="s">
        <v>257</v>
      </c>
      <c r="C30" s="29">
        <v>3684041</v>
      </c>
      <c r="D30" s="29">
        <v>4533297.59</v>
      </c>
      <c r="E30" s="29">
        <v>4596402</v>
      </c>
      <c r="F30" s="29">
        <f>4596402</f>
        <v>4596402</v>
      </c>
      <c r="G30" s="29">
        <v>5260929</v>
      </c>
      <c r="H30" s="29">
        <f>4669329</f>
        <v>4669329</v>
      </c>
      <c r="I30" s="29">
        <f>3762749</f>
        <v>3762749</v>
      </c>
      <c r="J30" s="45" t="s">
        <v>57</v>
      </c>
      <c r="K30" s="33" t="s">
        <v>257</v>
      </c>
      <c r="L30" s="29">
        <f>2638996.75</f>
        <v>2638996.75</v>
      </c>
      <c r="M30" s="29">
        <v>605000</v>
      </c>
      <c r="N30" s="29">
        <f>375595</f>
        <v>375595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45" t="s">
        <v>57</v>
      </c>
      <c r="T30" s="33" t="s">
        <v>257</v>
      </c>
      <c r="U30" s="29">
        <f>0</f>
        <v>0</v>
      </c>
      <c r="V30" s="29">
        <f>0</f>
        <v>0</v>
      </c>
      <c r="W30" s="29">
        <f>0</f>
        <v>0</v>
      </c>
      <c r="X30" s="29">
        <f>0</f>
        <v>0</v>
      </c>
      <c r="Y30" s="29">
        <f>0</f>
        <v>0</v>
      </c>
      <c r="Z30" s="29">
        <f>0</f>
        <v>0</v>
      </c>
      <c r="AA30" s="29">
        <f>0</f>
        <v>0</v>
      </c>
      <c r="AB30" s="45" t="s">
        <v>57</v>
      </c>
      <c r="AC30" s="33" t="s">
        <v>257</v>
      </c>
      <c r="AD30" s="29">
        <f>0</f>
        <v>0</v>
      </c>
      <c r="AE30" s="29">
        <f>0</f>
        <v>0</v>
      </c>
      <c r="AF30" s="29">
        <f>0</f>
        <v>0</v>
      </c>
      <c r="AG30" s="29">
        <f>0</f>
        <v>0</v>
      </c>
      <c r="AH30" s="29">
        <f>0</f>
        <v>0</v>
      </c>
      <c r="AI30" s="29">
        <f>0</f>
        <v>0</v>
      </c>
      <c r="AJ30" s="29">
        <f>0</f>
        <v>0</v>
      </c>
      <c r="AK30" s="45" t="s">
        <v>57</v>
      </c>
      <c r="AL30" s="33" t="s">
        <v>257</v>
      </c>
      <c r="AM30" s="29">
        <f>0</f>
        <v>0</v>
      </c>
      <c r="AN30" s="29">
        <f>0</f>
        <v>0</v>
      </c>
      <c r="AO30" s="29">
        <f>0</f>
        <v>0</v>
      </c>
      <c r="AP30" s="29">
        <f>0</f>
        <v>0</v>
      </c>
      <c r="AQ30" s="29">
        <f>0</f>
        <v>0</v>
      </c>
      <c r="AR30" s="29">
        <f>0</f>
        <v>0</v>
      </c>
      <c r="AS30" s="29">
        <f>0</f>
        <v>0</v>
      </c>
      <c r="AT30" s="45" t="s">
        <v>57</v>
      </c>
      <c r="AU30" s="33" t="s">
        <v>257</v>
      </c>
      <c r="AV30" s="29">
        <f>0</f>
        <v>0</v>
      </c>
      <c r="AW30" s="29">
        <f>0</f>
        <v>0</v>
      </c>
    </row>
    <row r="31" spans="1:49" ht="24" customHeight="1">
      <c r="A31" s="45" t="s">
        <v>59</v>
      </c>
      <c r="B31" s="31" t="s">
        <v>258</v>
      </c>
      <c r="C31" s="29">
        <v>0</v>
      </c>
      <c r="D31" s="29">
        <f>0</f>
        <v>0</v>
      </c>
      <c r="E31" s="29">
        <f>0</f>
        <v>0</v>
      </c>
      <c r="F31" s="29">
        <f>0</f>
        <v>0</v>
      </c>
      <c r="G31" s="29">
        <f>0</f>
        <v>0</v>
      </c>
      <c r="H31" s="29">
        <f>0</f>
        <v>0</v>
      </c>
      <c r="I31" s="29">
        <f>0</f>
        <v>0</v>
      </c>
      <c r="J31" s="45" t="s">
        <v>59</v>
      </c>
      <c r="K31" s="31" t="s">
        <v>258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45" t="s">
        <v>59</v>
      </c>
      <c r="T31" s="31" t="s">
        <v>258</v>
      </c>
      <c r="U31" s="29">
        <f>0</f>
        <v>0</v>
      </c>
      <c r="V31" s="29">
        <f>0</f>
        <v>0</v>
      </c>
      <c r="W31" s="29">
        <f>0</f>
        <v>0</v>
      </c>
      <c r="X31" s="29">
        <f>0</f>
        <v>0</v>
      </c>
      <c r="Y31" s="29">
        <f>0</f>
        <v>0</v>
      </c>
      <c r="Z31" s="29">
        <f>0</f>
        <v>0</v>
      </c>
      <c r="AA31" s="29">
        <f>0</f>
        <v>0</v>
      </c>
      <c r="AB31" s="45" t="s">
        <v>59</v>
      </c>
      <c r="AC31" s="31" t="s">
        <v>258</v>
      </c>
      <c r="AD31" s="29">
        <f>0</f>
        <v>0</v>
      </c>
      <c r="AE31" s="29">
        <f>0</f>
        <v>0</v>
      </c>
      <c r="AF31" s="29">
        <f>0</f>
        <v>0</v>
      </c>
      <c r="AG31" s="29">
        <f>0</f>
        <v>0</v>
      </c>
      <c r="AH31" s="29">
        <f>0</f>
        <v>0</v>
      </c>
      <c r="AI31" s="29">
        <f>0</f>
        <v>0</v>
      </c>
      <c r="AJ31" s="29">
        <f>0</f>
        <v>0</v>
      </c>
      <c r="AK31" s="45" t="s">
        <v>59</v>
      </c>
      <c r="AL31" s="31" t="s">
        <v>258</v>
      </c>
      <c r="AM31" s="29">
        <f>0</f>
        <v>0</v>
      </c>
      <c r="AN31" s="29">
        <f>0</f>
        <v>0</v>
      </c>
      <c r="AO31" s="29">
        <f>0</f>
        <v>0</v>
      </c>
      <c r="AP31" s="29">
        <f>0</f>
        <v>0</v>
      </c>
      <c r="AQ31" s="29">
        <f>0</f>
        <v>0</v>
      </c>
      <c r="AR31" s="29">
        <f>0</f>
        <v>0</v>
      </c>
      <c r="AS31" s="29">
        <f>0</f>
        <v>0</v>
      </c>
      <c r="AT31" s="45" t="s">
        <v>59</v>
      </c>
      <c r="AU31" s="31" t="s">
        <v>258</v>
      </c>
      <c r="AV31" s="29">
        <f>0</f>
        <v>0</v>
      </c>
      <c r="AW31" s="29">
        <f>0</f>
        <v>0</v>
      </c>
    </row>
    <row r="32" spans="1:49" ht="12" customHeight="1">
      <c r="A32" s="45" t="s">
        <v>61</v>
      </c>
      <c r="B32" s="33" t="s">
        <v>259</v>
      </c>
      <c r="C32" s="29">
        <v>755127.74</v>
      </c>
      <c r="D32" s="29">
        <v>983963.03</v>
      </c>
      <c r="E32" s="29">
        <v>2019000</v>
      </c>
      <c r="F32" s="29">
        <v>2019000</v>
      </c>
      <c r="G32" s="29">
        <v>1517000</v>
      </c>
      <c r="H32" s="29">
        <f>1389740</f>
        <v>1389740</v>
      </c>
      <c r="I32" s="29">
        <f>1093466</f>
        <v>1093466</v>
      </c>
      <c r="J32" s="45" t="s">
        <v>61</v>
      </c>
      <c r="K32" s="33" t="s">
        <v>259</v>
      </c>
      <c r="L32" s="29">
        <f>869590</f>
        <v>869590</v>
      </c>
      <c r="M32" s="29">
        <f>672975</f>
        <v>672975</v>
      </c>
      <c r="N32" s="29">
        <f>582552</f>
        <v>582552</v>
      </c>
      <c r="O32" s="29">
        <f>514140</f>
        <v>514140</v>
      </c>
      <c r="P32" s="29">
        <f>455770</f>
        <v>455770</v>
      </c>
      <c r="Q32" s="29">
        <f>394870</f>
        <v>394870</v>
      </c>
      <c r="R32" s="29">
        <f>335230</f>
        <v>335230</v>
      </c>
      <c r="S32" s="45" t="s">
        <v>61</v>
      </c>
      <c r="T32" s="33" t="s">
        <v>259</v>
      </c>
      <c r="U32" s="29">
        <f>275600</f>
        <v>275600</v>
      </c>
      <c r="V32" s="29">
        <f>216570</f>
        <v>216570</v>
      </c>
      <c r="W32" s="29">
        <f>156000</f>
        <v>156000</v>
      </c>
      <c r="X32" s="29">
        <f>96690</f>
        <v>96690</v>
      </c>
      <c r="Y32" s="29">
        <f>37050</f>
        <v>37050</v>
      </c>
      <c r="Z32" s="29">
        <f>0</f>
        <v>0</v>
      </c>
      <c r="AA32" s="29">
        <f>0</f>
        <v>0</v>
      </c>
      <c r="AB32" s="45" t="s">
        <v>61</v>
      </c>
      <c r="AC32" s="33" t="s">
        <v>259</v>
      </c>
      <c r="AD32" s="29">
        <f>0</f>
        <v>0</v>
      </c>
      <c r="AE32" s="29">
        <f>0</f>
        <v>0</v>
      </c>
      <c r="AF32" s="29">
        <f>0</f>
        <v>0</v>
      </c>
      <c r="AG32" s="29">
        <f>0</f>
        <v>0</v>
      </c>
      <c r="AH32" s="29">
        <f>0</f>
        <v>0</v>
      </c>
      <c r="AI32" s="29">
        <f>0</f>
        <v>0</v>
      </c>
      <c r="AJ32" s="29">
        <f>0</f>
        <v>0</v>
      </c>
      <c r="AK32" s="45" t="s">
        <v>61</v>
      </c>
      <c r="AL32" s="33" t="s">
        <v>259</v>
      </c>
      <c r="AM32" s="29">
        <f>0</f>
        <v>0</v>
      </c>
      <c r="AN32" s="29">
        <f>0</f>
        <v>0</v>
      </c>
      <c r="AO32" s="29">
        <f>0</f>
        <v>0</v>
      </c>
      <c r="AP32" s="29">
        <f>0</f>
        <v>0</v>
      </c>
      <c r="AQ32" s="29">
        <f>0</f>
        <v>0</v>
      </c>
      <c r="AR32" s="29">
        <f>0</f>
        <v>0</v>
      </c>
      <c r="AS32" s="29">
        <f>0</f>
        <v>0</v>
      </c>
      <c r="AT32" s="45" t="s">
        <v>61</v>
      </c>
      <c r="AU32" s="33" t="s">
        <v>259</v>
      </c>
      <c r="AV32" s="29">
        <f>0</f>
        <v>0</v>
      </c>
      <c r="AW32" s="29">
        <f>0</f>
        <v>0</v>
      </c>
    </row>
    <row r="33" spans="1:55" ht="12" customHeight="1">
      <c r="A33" s="41" t="s">
        <v>63</v>
      </c>
      <c r="B33" s="65" t="s">
        <v>260</v>
      </c>
      <c r="C33" s="30">
        <v>735527.74</v>
      </c>
      <c r="D33" s="30">
        <v>983963.03</v>
      </c>
      <c r="E33" s="30">
        <v>2019000</v>
      </c>
      <c r="F33" s="30">
        <v>2019000</v>
      </c>
      <c r="G33" s="30">
        <v>1517000</v>
      </c>
      <c r="H33" s="30">
        <v>1389740</v>
      </c>
      <c r="I33" s="30">
        <v>1093466</v>
      </c>
      <c r="J33" s="41" t="s">
        <v>63</v>
      </c>
      <c r="K33" s="65" t="s">
        <v>260</v>
      </c>
      <c r="L33" s="30">
        <v>869590</v>
      </c>
      <c r="M33" s="30">
        <v>672975</v>
      </c>
      <c r="N33" s="30">
        <v>582552</v>
      </c>
      <c r="O33" s="30">
        <v>514140</v>
      </c>
      <c r="P33" s="30">
        <v>455770</v>
      </c>
      <c r="Q33" s="30">
        <v>394870</v>
      </c>
      <c r="R33" s="30">
        <v>335230</v>
      </c>
      <c r="S33" s="41" t="s">
        <v>63</v>
      </c>
      <c r="T33" s="65" t="s">
        <v>260</v>
      </c>
      <c r="U33" s="30">
        <v>275600</v>
      </c>
      <c r="V33" s="30">
        <v>216570</v>
      </c>
      <c r="W33" s="30">
        <v>156000</v>
      </c>
      <c r="X33" s="30">
        <v>96690</v>
      </c>
      <c r="Y33" s="30">
        <v>37050</v>
      </c>
      <c r="Z33" s="30">
        <f>0</f>
        <v>0</v>
      </c>
      <c r="AA33" s="30">
        <f>0</f>
        <v>0</v>
      </c>
      <c r="AB33" s="41" t="s">
        <v>63</v>
      </c>
      <c r="AC33" s="65" t="s">
        <v>260</v>
      </c>
      <c r="AD33" s="30">
        <f>0</f>
        <v>0</v>
      </c>
      <c r="AE33" s="30">
        <f>0</f>
        <v>0</v>
      </c>
      <c r="AF33" s="30">
        <f>0</f>
        <v>0</v>
      </c>
      <c r="AG33" s="30">
        <f>0</f>
        <v>0</v>
      </c>
      <c r="AH33" s="30">
        <f>0</f>
        <v>0</v>
      </c>
      <c r="AI33" s="30">
        <f>0</f>
        <v>0</v>
      </c>
      <c r="AJ33" s="30">
        <f>0</f>
        <v>0</v>
      </c>
      <c r="AK33" s="41" t="s">
        <v>63</v>
      </c>
      <c r="AL33" s="65" t="s">
        <v>260</v>
      </c>
      <c r="AM33" s="30">
        <f>0</f>
        <v>0</v>
      </c>
      <c r="AN33" s="30">
        <f>0</f>
        <v>0</v>
      </c>
      <c r="AO33" s="30">
        <f>0</f>
        <v>0</v>
      </c>
      <c r="AP33" s="30">
        <f>0</f>
        <v>0</v>
      </c>
      <c r="AQ33" s="30">
        <f>0</f>
        <v>0</v>
      </c>
      <c r="AR33" s="30">
        <f>0</f>
        <v>0</v>
      </c>
      <c r="AS33" s="30">
        <f>0</f>
        <v>0</v>
      </c>
      <c r="AT33" s="41" t="s">
        <v>63</v>
      </c>
      <c r="AU33" s="65" t="s">
        <v>260</v>
      </c>
      <c r="AV33" s="30">
        <f>0</f>
        <v>0</v>
      </c>
      <c r="AW33" s="30">
        <f>0</f>
        <v>0</v>
      </c>
    </row>
    <row r="34" spans="1:55" ht="12" customHeight="1">
      <c r="A34" s="38">
        <v>8</v>
      </c>
      <c r="B34" s="34" t="s">
        <v>65</v>
      </c>
      <c r="C34" s="32">
        <f>0</f>
        <v>0</v>
      </c>
      <c r="D34" s="32">
        <f>0</f>
        <v>0</v>
      </c>
      <c r="E34" s="32">
        <f>0</f>
        <v>0</v>
      </c>
      <c r="F34" s="32">
        <f>0</f>
        <v>0</v>
      </c>
      <c r="G34" s="32">
        <f>0</f>
        <v>0</v>
      </c>
      <c r="H34" s="32">
        <f>0</f>
        <v>0</v>
      </c>
      <c r="I34" s="32">
        <f>0</f>
        <v>0</v>
      </c>
      <c r="J34" s="38">
        <v>8</v>
      </c>
      <c r="K34" s="34" t="s">
        <v>65</v>
      </c>
      <c r="L34" s="32">
        <f>0</f>
        <v>0</v>
      </c>
      <c r="M34" s="32">
        <f>0</f>
        <v>0</v>
      </c>
      <c r="N34" s="32">
        <f>0</f>
        <v>0</v>
      </c>
      <c r="O34" s="32">
        <f>0</f>
        <v>0</v>
      </c>
      <c r="P34" s="32">
        <f>0</f>
        <v>0</v>
      </c>
      <c r="Q34" s="32">
        <f>0</f>
        <v>0</v>
      </c>
      <c r="R34" s="32">
        <f>0</f>
        <v>0</v>
      </c>
      <c r="S34" s="38">
        <v>8</v>
      </c>
      <c r="T34" s="34" t="s">
        <v>65</v>
      </c>
      <c r="U34" s="32">
        <f>0</f>
        <v>0</v>
      </c>
      <c r="V34" s="32">
        <f>0</f>
        <v>0</v>
      </c>
      <c r="W34" s="32">
        <f>0</f>
        <v>0</v>
      </c>
      <c r="X34" s="32">
        <f>0</f>
        <v>0</v>
      </c>
      <c r="Y34" s="32">
        <f>0</f>
        <v>0</v>
      </c>
      <c r="Z34" s="32">
        <f>0</f>
        <v>0</v>
      </c>
      <c r="AA34" s="32">
        <f>0</f>
        <v>0</v>
      </c>
      <c r="AB34" s="38">
        <v>8</v>
      </c>
      <c r="AC34" s="34" t="s">
        <v>65</v>
      </c>
      <c r="AD34" s="32">
        <f>0</f>
        <v>0</v>
      </c>
      <c r="AE34" s="32">
        <f>0</f>
        <v>0</v>
      </c>
      <c r="AF34" s="32">
        <f>0</f>
        <v>0</v>
      </c>
      <c r="AG34" s="32">
        <f>0</f>
        <v>0</v>
      </c>
      <c r="AH34" s="32">
        <f>0</f>
        <v>0</v>
      </c>
      <c r="AI34" s="32">
        <f>0</f>
        <v>0</v>
      </c>
      <c r="AJ34" s="32">
        <f>0</f>
        <v>0</v>
      </c>
      <c r="AK34" s="38">
        <v>8</v>
      </c>
      <c r="AL34" s="34" t="s">
        <v>65</v>
      </c>
      <c r="AM34" s="32">
        <f>0</f>
        <v>0</v>
      </c>
      <c r="AN34" s="32">
        <f>0</f>
        <v>0</v>
      </c>
      <c r="AO34" s="32">
        <f>0</f>
        <v>0</v>
      </c>
      <c r="AP34" s="32">
        <f>0</f>
        <v>0</v>
      </c>
      <c r="AQ34" s="32">
        <f>0</f>
        <v>0</v>
      </c>
      <c r="AR34" s="32">
        <f>0</f>
        <v>0</v>
      </c>
      <c r="AS34" s="32">
        <f>0</f>
        <v>0</v>
      </c>
      <c r="AT34" s="38">
        <v>8</v>
      </c>
      <c r="AU34" s="34" t="s">
        <v>65</v>
      </c>
      <c r="AV34" s="32">
        <f>0</f>
        <v>0</v>
      </c>
      <c r="AW34" s="32">
        <f>0</f>
        <v>0</v>
      </c>
    </row>
    <row r="35" spans="1:55" ht="12" customHeight="1">
      <c r="A35" s="245" t="s">
        <v>132</v>
      </c>
      <c r="B35" s="246"/>
      <c r="C35" s="246"/>
      <c r="D35" s="246"/>
      <c r="E35" s="246"/>
      <c r="F35" s="246"/>
      <c r="G35" s="246"/>
      <c r="H35" s="246"/>
      <c r="I35" s="247"/>
      <c r="J35" s="245" t="s">
        <v>140</v>
      </c>
      <c r="K35" s="247"/>
      <c r="L35" s="247"/>
      <c r="M35" s="247"/>
      <c r="N35" s="247"/>
      <c r="O35" s="247"/>
      <c r="P35" s="247"/>
      <c r="Q35" s="247"/>
      <c r="R35" s="247"/>
      <c r="S35" s="245" t="s">
        <v>135</v>
      </c>
      <c r="T35" s="247"/>
      <c r="U35" s="247"/>
      <c r="V35" s="247"/>
      <c r="W35" s="247"/>
      <c r="X35" s="247"/>
      <c r="Y35" s="247"/>
      <c r="Z35" s="247"/>
      <c r="AA35" s="247"/>
      <c r="AB35" s="245" t="s">
        <v>283</v>
      </c>
      <c r="AC35" s="247"/>
      <c r="AD35" s="247"/>
      <c r="AE35" s="247"/>
      <c r="AF35" s="247"/>
      <c r="AG35" s="247"/>
      <c r="AH35" s="247"/>
      <c r="AI35" s="247"/>
      <c r="AJ35" s="247"/>
      <c r="AK35" s="245" t="s">
        <v>285</v>
      </c>
      <c r="AL35" s="248"/>
      <c r="AM35" s="248"/>
      <c r="AN35" s="248"/>
      <c r="AO35" s="248"/>
      <c r="AP35" s="248"/>
      <c r="AQ35" s="248"/>
      <c r="AR35" s="248"/>
      <c r="AS35" s="248"/>
      <c r="AT35" s="243" t="s">
        <v>288</v>
      </c>
      <c r="AU35" s="244"/>
      <c r="AV35" s="244"/>
      <c r="AW35" s="244"/>
      <c r="AX35" s="244"/>
      <c r="AY35" s="244"/>
      <c r="AZ35" s="244"/>
      <c r="BA35" s="244"/>
      <c r="BB35" s="244"/>
      <c r="BC35" s="244"/>
    </row>
    <row r="36" spans="1:55" ht="12" customHeight="1">
      <c r="A36" s="61" t="s">
        <v>0</v>
      </c>
      <c r="B36" s="62" t="s">
        <v>1</v>
      </c>
      <c r="C36" s="63" t="s">
        <v>96</v>
      </c>
      <c r="D36" s="63" t="s">
        <v>202</v>
      </c>
      <c r="E36" s="63" t="s">
        <v>237</v>
      </c>
      <c r="F36" s="63" t="s">
        <v>238</v>
      </c>
      <c r="G36" s="63" t="s">
        <v>99</v>
      </c>
      <c r="H36" s="63" t="s">
        <v>100</v>
      </c>
      <c r="I36" s="63" t="s">
        <v>101</v>
      </c>
      <c r="J36" s="61" t="s">
        <v>0</v>
      </c>
      <c r="K36" s="62" t="s">
        <v>1</v>
      </c>
      <c r="L36" s="63" t="s">
        <v>102</v>
      </c>
      <c r="M36" s="63" t="s">
        <v>103</v>
      </c>
      <c r="N36" s="63" t="s">
        <v>104</v>
      </c>
      <c r="O36" s="63" t="s">
        <v>105</v>
      </c>
      <c r="P36" s="63" t="s">
        <v>106</v>
      </c>
      <c r="Q36" s="63" t="s">
        <v>107</v>
      </c>
      <c r="R36" s="63" t="s">
        <v>108</v>
      </c>
      <c r="S36" s="61" t="s">
        <v>0</v>
      </c>
      <c r="T36" s="62" t="s">
        <v>1</v>
      </c>
      <c r="U36" s="63" t="s">
        <v>109</v>
      </c>
      <c r="V36" s="63" t="s">
        <v>110</v>
      </c>
      <c r="W36" s="63" t="s">
        <v>111</v>
      </c>
      <c r="X36" s="63" t="s">
        <v>112</v>
      </c>
      <c r="Y36" s="63" t="s">
        <v>113</v>
      </c>
      <c r="Z36" s="63" t="s">
        <v>114</v>
      </c>
      <c r="AA36" s="63" t="s">
        <v>115</v>
      </c>
      <c r="AB36" s="61" t="s">
        <v>0</v>
      </c>
      <c r="AC36" s="62" t="s">
        <v>1</v>
      </c>
      <c r="AD36" s="63" t="s">
        <v>116</v>
      </c>
      <c r="AE36" s="63" t="s">
        <v>117</v>
      </c>
      <c r="AF36" s="63" t="s">
        <v>118</v>
      </c>
      <c r="AG36" s="63" t="s">
        <v>119</v>
      </c>
      <c r="AH36" s="63" t="s">
        <v>120</v>
      </c>
      <c r="AI36" s="63" t="s">
        <v>121</v>
      </c>
      <c r="AJ36" s="63" t="s">
        <v>122</v>
      </c>
      <c r="AK36" s="61" t="s">
        <v>0</v>
      </c>
      <c r="AL36" s="62" t="s">
        <v>1</v>
      </c>
      <c r="AM36" s="63" t="s">
        <v>123</v>
      </c>
      <c r="AN36" s="63" t="s">
        <v>124</v>
      </c>
      <c r="AO36" s="63" t="s">
        <v>125</v>
      </c>
      <c r="AP36" s="63" t="s">
        <v>126</v>
      </c>
      <c r="AQ36" s="63" t="s">
        <v>127</v>
      </c>
      <c r="AR36" s="63" t="s">
        <v>128</v>
      </c>
      <c r="AS36" s="63" t="s">
        <v>129</v>
      </c>
      <c r="AT36" s="61" t="s">
        <v>0</v>
      </c>
      <c r="AU36" s="62" t="s">
        <v>1</v>
      </c>
      <c r="AV36" s="63" t="s">
        <v>130</v>
      </c>
      <c r="AW36" s="63" t="s">
        <v>131</v>
      </c>
    </row>
    <row r="37" spans="1:55" ht="12" customHeight="1">
      <c r="A37" s="38">
        <v>9</v>
      </c>
      <c r="B37" s="34" t="s">
        <v>66</v>
      </c>
      <c r="C37" s="32">
        <f>SUM(C28-C29-C34)</f>
        <v>5780607.9199999981</v>
      </c>
      <c r="D37" s="32">
        <f t="shared" ref="D37:H37" si="24">SUM(D28-D29-D34)</f>
        <v>5368160.6899999985</v>
      </c>
      <c r="E37" s="32">
        <f t="shared" si="24"/>
        <v>24300496</v>
      </c>
      <c r="F37" s="32">
        <f t="shared" si="24"/>
        <v>18069573</v>
      </c>
      <c r="G37" s="32">
        <f t="shared" si="24"/>
        <v>1081396</v>
      </c>
      <c r="H37" s="32">
        <f t="shared" si="24"/>
        <v>3112472</v>
      </c>
      <c r="I37" s="32">
        <f>SUM(I28-I29-I34)</f>
        <v>4543886</v>
      </c>
      <c r="J37" s="38">
        <v>9</v>
      </c>
      <c r="K37" s="34" t="s">
        <v>66</v>
      </c>
      <c r="L37" s="32">
        <f t="shared" ref="L37:Q37" si="25">SUM(L28-L29-L34)</f>
        <v>5165922.25</v>
      </c>
      <c r="M37" s="32">
        <f t="shared" si="25"/>
        <v>7885277</v>
      </c>
      <c r="N37" s="32">
        <f t="shared" si="25"/>
        <v>8756045</v>
      </c>
      <c r="O37" s="32">
        <f t="shared" si="25"/>
        <v>9773542</v>
      </c>
      <c r="P37" s="32">
        <f t="shared" si="25"/>
        <v>10428868</v>
      </c>
      <c r="Q37" s="32">
        <f t="shared" si="25"/>
        <v>11110992</v>
      </c>
      <c r="R37" s="32">
        <f>SUM(R28-R29-R34)</f>
        <v>11817011</v>
      </c>
      <c r="S37" s="38">
        <v>9</v>
      </c>
      <c r="T37" s="34" t="s">
        <v>66</v>
      </c>
      <c r="U37" s="32">
        <f t="shared" ref="U37:Z37" si="26">SUM(U28-U29-U34)</f>
        <v>12349811</v>
      </c>
      <c r="V37" s="32">
        <f t="shared" si="26"/>
        <v>12703483</v>
      </c>
      <c r="W37" s="32">
        <f t="shared" si="26"/>
        <v>13065472</v>
      </c>
      <c r="X37" s="32">
        <f t="shared" si="26"/>
        <v>13433133</v>
      </c>
      <c r="Y37" s="32">
        <f t="shared" si="26"/>
        <v>13808216</v>
      </c>
      <c r="Z37" s="32">
        <f t="shared" si="26"/>
        <v>14153934</v>
      </c>
      <c r="AA37" s="32">
        <f>SUM(AA28-AA29-AA34)</f>
        <v>14469393</v>
      </c>
      <c r="AB37" s="38">
        <v>9</v>
      </c>
      <c r="AC37" s="34" t="s">
        <v>66</v>
      </c>
      <c r="AD37" s="32">
        <f t="shared" ref="AD37:AI37" si="27">SUM(AD28-AD29-AD34)</f>
        <v>14791792</v>
      </c>
      <c r="AE37" s="32">
        <f t="shared" si="27"/>
        <v>15121284</v>
      </c>
      <c r="AF37" s="32">
        <f t="shared" si="27"/>
        <v>15458025</v>
      </c>
      <c r="AG37" s="32">
        <f t="shared" si="27"/>
        <v>15786530</v>
      </c>
      <c r="AH37" s="32">
        <f t="shared" si="27"/>
        <v>16121934</v>
      </c>
      <c r="AI37" s="32">
        <f t="shared" si="27"/>
        <v>16464382</v>
      </c>
      <c r="AJ37" s="32">
        <f>SUM(AJ28-AJ29-AJ34)</f>
        <v>16814021</v>
      </c>
      <c r="AK37" s="38">
        <v>9</v>
      </c>
      <c r="AL37" s="34" t="s">
        <v>66</v>
      </c>
      <c r="AM37" s="32">
        <f t="shared" ref="AM37:AR37" si="28">SUM(AM28-AM29-AM34)</f>
        <v>17171003</v>
      </c>
      <c r="AN37" s="32">
        <f t="shared" si="28"/>
        <v>13438125</v>
      </c>
      <c r="AO37" s="32">
        <f t="shared" si="28"/>
        <v>13710590</v>
      </c>
      <c r="AP37" s="32">
        <f t="shared" si="28"/>
        <v>13988503</v>
      </c>
      <c r="AQ37" s="32">
        <f t="shared" si="28"/>
        <v>14271975</v>
      </c>
      <c r="AR37" s="32">
        <f t="shared" si="28"/>
        <v>14561117</v>
      </c>
      <c r="AS37" s="32">
        <f>SUM(AS28-AS29-AS34)</f>
        <v>14856041</v>
      </c>
      <c r="AT37" s="38">
        <v>9</v>
      </c>
      <c r="AU37" s="34" t="s">
        <v>66</v>
      </c>
      <c r="AV37" s="32">
        <f t="shared" ref="AV37:AW37" si="29">SUM(AV28-AV29-AV34)</f>
        <v>15156864</v>
      </c>
      <c r="AW37" s="32">
        <f t="shared" si="29"/>
        <v>15463704</v>
      </c>
    </row>
    <row r="38" spans="1:55" ht="12" customHeight="1">
      <c r="A38" s="39">
        <v>10</v>
      </c>
      <c r="B38" s="40" t="s">
        <v>7</v>
      </c>
      <c r="C38" s="28">
        <v>11153742.220000001</v>
      </c>
      <c r="D38" s="28">
        <v>8069753.3700000001</v>
      </c>
      <c r="E38" s="28">
        <v>24300496</v>
      </c>
      <c r="F38" s="28">
        <v>18069573</v>
      </c>
      <c r="G38" s="28">
        <v>1081396</v>
      </c>
      <c r="H38" s="28">
        <v>3112472</v>
      </c>
      <c r="I38" s="28">
        <v>4543886</v>
      </c>
      <c r="J38" s="39">
        <v>10</v>
      </c>
      <c r="K38" s="40" t="s">
        <v>7</v>
      </c>
      <c r="L38" s="28">
        <v>5165922.25</v>
      </c>
      <c r="M38" s="28">
        <v>7885277</v>
      </c>
      <c r="N38" s="28">
        <v>8756045</v>
      </c>
      <c r="O38" s="28">
        <v>9773542</v>
      </c>
      <c r="P38" s="28">
        <v>10428868</v>
      </c>
      <c r="Q38" s="28">
        <v>11110992</v>
      </c>
      <c r="R38" s="28">
        <v>11817011</v>
      </c>
      <c r="S38" s="39">
        <v>10</v>
      </c>
      <c r="T38" s="40" t="s">
        <v>7</v>
      </c>
      <c r="U38" s="28">
        <f>12349811</f>
        <v>12349811</v>
      </c>
      <c r="V38" s="28">
        <f>12703483</f>
        <v>12703483</v>
      </c>
      <c r="W38" s="28">
        <f>13065472</f>
        <v>13065472</v>
      </c>
      <c r="X38" s="28">
        <f>13433133</f>
        <v>13433133</v>
      </c>
      <c r="Y38" s="28">
        <f>13808216</f>
        <v>13808216</v>
      </c>
      <c r="Z38" s="28">
        <f>14153934</f>
        <v>14153934</v>
      </c>
      <c r="AA38" s="28">
        <f>14469393</f>
        <v>14469393</v>
      </c>
      <c r="AB38" s="39">
        <v>10</v>
      </c>
      <c r="AC38" s="40" t="s">
        <v>7</v>
      </c>
      <c r="AD38" s="28">
        <f>14791792</f>
        <v>14791792</v>
      </c>
      <c r="AE38" s="28">
        <f>15121284</f>
        <v>15121284</v>
      </c>
      <c r="AF38" s="28">
        <f>15458025</f>
        <v>15458025</v>
      </c>
      <c r="AG38" s="28">
        <f>15786530</f>
        <v>15786530</v>
      </c>
      <c r="AH38" s="28">
        <f>16121934</f>
        <v>16121934</v>
      </c>
      <c r="AI38" s="28">
        <f>16464382</f>
        <v>16464382</v>
      </c>
      <c r="AJ38" s="28">
        <f>16814021</f>
        <v>16814021</v>
      </c>
      <c r="AK38" s="39">
        <v>10</v>
      </c>
      <c r="AL38" s="40" t="s">
        <v>7</v>
      </c>
      <c r="AM38" s="28">
        <f>17171003</f>
        <v>17171003</v>
      </c>
      <c r="AN38" s="28">
        <f>13438125</f>
        <v>13438125</v>
      </c>
      <c r="AO38" s="28">
        <f>13710590</f>
        <v>13710590</v>
      </c>
      <c r="AP38" s="28">
        <f>13988503</f>
        <v>13988503</v>
      </c>
      <c r="AQ38" s="28">
        <f>14271975</f>
        <v>14271975</v>
      </c>
      <c r="AR38" s="28">
        <f>14561117</f>
        <v>14561117</v>
      </c>
      <c r="AS38" s="28">
        <f>14856041</f>
        <v>14856041</v>
      </c>
      <c r="AT38" s="39">
        <v>10</v>
      </c>
      <c r="AU38" s="40" t="s">
        <v>7</v>
      </c>
      <c r="AV38" s="28">
        <f>15156864</f>
        <v>15156864</v>
      </c>
      <c r="AW38" s="28">
        <f>15463704</f>
        <v>15463704</v>
      </c>
    </row>
    <row r="39" spans="1:55" ht="12" customHeight="1">
      <c r="A39" s="45" t="s">
        <v>67</v>
      </c>
      <c r="B39" s="33" t="s">
        <v>92</v>
      </c>
      <c r="C39" s="29">
        <v>0</v>
      </c>
      <c r="D39" s="29">
        <v>4008372.08</v>
      </c>
      <c r="E39" s="29">
        <v>23184700</v>
      </c>
      <c r="F39" s="29">
        <v>8606635.3000000007</v>
      </c>
      <c r="G39" s="29">
        <v>1051600</v>
      </c>
      <c r="H39" s="29">
        <f t="shared" ref="H39" si="30">1042600</f>
        <v>1042600</v>
      </c>
      <c r="I39" s="29">
        <f t="shared" ref="I39:Q39" si="31">1042600</f>
        <v>1042600</v>
      </c>
      <c r="J39" s="45" t="s">
        <v>67</v>
      </c>
      <c r="K39" s="33" t="s">
        <v>92</v>
      </c>
      <c r="L39" s="29">
        <f t="shared" si="31"/>
        <v>1042600</v>
      </c>
      <c r="M39" s="29">
        <f t="shared" si="31"/>
        <v>1042600</v>
      </c>
      <c r="N39" s="29">
        <f t="shared" si="31"/>
        <v>1042600</v>
      </c>
      <c r="O39" s="29">
        <f t="shared" si="31"/>
        <v>1042600</v>
      </c>
      <c r="P39" s="29">
        <f t="shared" si="31"/>
        <v>1042600</v>
      </c>
      <c r="Q39" s="29">
        <f t="shared" si="31"/>
        <v>1042600</v>
      </c>
      <c r="R39" s="29">
        <f t="shared" ref="R39:Y39" si="32">1042600</f>
        <v>1042600</v>
      </c>
      <c r="S39" s="45" t="s">
        <v>67</v>
      </c>
      <c r="T39" s="33" t="s">
        <v>92</v>
      </c>
      <c r="U39" s="29">
        <f t="shared" si="32"/>
        <v>1042600</v>
      </c>
      <c r="V39" s="29">
        <f t="shared" si="32"/>
        <v>1042600</v>
      </c>
      <c r="W39" s="29">
        <f t="shared" si="32"/>
        <v>1042600</v>
      </c>
      <c r="X39" s="29">
        <f t="shared" si="32"/>
        <v>1042600</v>
      </c>
      <c r="Y39" s="29">
        <f t="shared" si="32"/>
        <v>1042600</v>
      </c>
      <c r="Z39" s="29">
        <f>0</f>
        <v>0</v>
      </c>
      <c r="AA39" s="29">
        <f>0</f>
        <v>0</v>
      </c>
      <c r="AB39" s="45" t="s">
        <v>67</v>
      </c>
      <c r="AC39" s="33" t="s">
        <v>92</v>
      </c>
      <c r="AD39" s="29">
        <f>0</f>
        <v>0</v>
      </c>
      <c r="AE39" s="29">
        <f>0</f>
        <v>0</v>
      </c>
      <c r="AF39" s="29">
        <f>0</f>
        <v>0</v>
      </c>
      <c r="AG39" s="29">
        <f>0</f>
        <v>0</v>
      </c>
      <c r="AH39" s="29">
        <f>0</f>
        <v>0</v>
      </c>
      <c r="AI39" s="29">
        <f>0</f>
        <v>0</v>
      </c>
      <c r="AJ39" s="29">
        <f>0</f>
        <v>0</v>
      </c>
      <c r="AK39" s="45" t="s">
        <v>67</v>
      </c>
      <c r="AL39" s="33" t="s">
        <v>92</v>
      </c>
      <c r="AM39" s="29">
        <f>0</f>
        <v>0</v>
      </c>
      <c r="AN39" s="29">
        <f>0</f>
        <v>0</v>
      </c>
      <c r="AO39" s="29">
        <f>0</f>
        <v>0</v>
      </c>
      <c r="AP39" s="29">
        <f>0</f>
        <v>0</v>
      </c>
      <c r="AQ39" s="29">
        <f>0</f>
        <v>0</v>
      </c>
      <c r="AR39" s="29">
        <f>0</f>
        <v>0</v>
      </c>
      <c r="AS39" s="29">
        <f>0</f>
        <v>0</v>
      </c>
      <c r="AT39" s="45" t="s">
        <v>67</v>
      </c>
      <c r="AU39" s="33" t="s">
        <v>92</v>
      </c>
      <c r="AV39" s="29">
        <f>0</f>
        <v>0</v>
      </c>
      <c r="AW39" s="29">
        <f>0</f>
        <v>0</v>
      </c>
    </row>
    <row r="40" spans="1:55" ht="24" customHeight="1">
      <c r="A40" s="220" t="s">
        <v>69</v>
      </c>
      <c r="B40" s="223" t="s">
        <v>89</v>
      </c>
      <c r="C40" s="221">
        <f>0</f>
        <v>0</v>
      </c>
      <c r="D40" s="221">
        <v>1573126.3</v>
      </c>
      <c r="E40" s="221">
        <v>20672400</v>
      </c>
      <c r="F40" s="221">
        <v>6094335.2999999998</v>
      </c>
      <c r="G40" s="221">
        <v>9000</v>
      </c>
      <c r="H40" s="221">
        <f>0</f>
        <v>0</v>
      </c>
      <c r="I40" s="221">
        <f>0</f>
        <v>0</v>
      </c>
      <c r="J40" s="220" t="s">
        <v>69</v>
      </c>
      <c r="K40" s="223" t="s">
        <v>89</v>
      </c>
      <c r="L40" s="221">
        <f>0</f>
        <v>0</v>
      </c>
      <c r="M40" s="221">
        <f>0</f>
        <v>0</v>
      </c>
      <c r="N40" s="221">
        <f>0</f>
        <v>0</v>
      </c>
      <c r="O40" s="221">
        <f>0</f>
        <v>0</v>
      </c>
      <c r="P40" s="221">
        <f>0</f>
        <v>0</v>
      </c>
      <c r="Q40" s="221">
        <f>0</f>
        <v>0</v>
      </c>
      <c r="R40" s="221">
        <f>0</f>
        <v>0</v>
      </c>
      <c r="S40" s="220" t="s">
        <v>69</v>
      </c>
      <c r="T40" s="223" t="s">
        <v>89</v>
      </c>
      <c r="U40" s="221">
        <f>0</f>
        <v>0</v>
      </c>
      <c r="V40" s="221">
        <f>0</f>
        <v>0</v>
      </c>
      <c r="W40" s="221">
        <f>0</f>
        <v>0</v>
      </c>
      <c r="X40" s="221">
        <f>0</f>
        <v>0</v>
      </c>
      <c r="Y40" s="221">
        <f>0</f>
        <v>0</v>
      </c>
      <c r="Z40" s="221">
        <f>0</f>
        <v>0</v>
      </c>
      <c r="AA40" s="221">
        <f>0</f>
        <v>0</v>
      </c>
      <c r="AB40" s="220" t="s">
        <v>69</v>
      </c>
      <c r="AC40" s="223" t="s">
        <v>89</v>
      </c>
      <c r="AD40" s="221">
        <f>0</f>
        <v>0</v>
      </c>
      <c r="AE40" s="221">
        <f>0</f>
        <v>0</v>
      </c>
      <c r="AF40" s="221">
        <f>0</f>
        <v>0</v>
      </c>
      <c r="AG40" s="221">
        <f>0</f>
        <v>0</v>
      </c>
      <c r="AH40" s="221">
        <f>0</f>
        <v>0</v>
      </c>
      <c r="AI40" s="221">
        <f>0</f>
        <v>0</v>
      </c>
      <c r="AJ40" s="221">
        <f>0</f>
        <v>0</v>
      </c>
      <c r="AK40" s="220" t="s">
        <v>69</v>
      </c>
      <c r="AL40" s="223" t="s">
        <v>89</v>
      </c>
      <c r="AM40" s="221">
        <f>0</f>
        <v>0</v>
      </c>
      <c r="AN40" s="221">
        <f>0</f>
        <v>0</v>
      </c>
      <c r="AO40" s="221">
        <f>0</f>
        <v>0</v>
      </c>
      <c r="AP40" s="221">
        <f>0</f>
        <v>0</v>
      </c>
      <c r="AQ40" s="221">
        <f>0</f>
        <v>0</v>
      </c>
      <c r="AR40" s="221">
        <f>0</f>
        <v>0</v>
      </c>
      <c r="AS40" s="221">
        <f>0</f>
        <v>0</v>
      </c>
      <c r="AT40" s="220" t="s">
        <v>69</v>
      </c>
      <c r="AU40" s="223" t="s">
        <v>89</v>
      </c>
      <c r="AV40" s="221">
        <f>0</f>
        <v>0</v>
      </c>
      <c r="AW40" s="221">
        <f>0</f>
        <v>0</v>
      </c>
    </row>
    <row r="41" spans="1:55" ht="12" customHeight="1">
      <c r="A41" s="41" t="s">
        <v>261</v>
      </c>
      <c r="B41" s="42" t="s">
        <v>250</v>
      </c>
      <c r="C41" s="30">
        <v>0</v>
      </c>
      <c r="D41" s="30">
        <v>0</v>
      </c>
      <c r="E41" s="30">
        <v>20000000</v>
      </c>
      <c r="F41" s="30">
        <v>0</v>
      </c>
      <c r="G41" s="30">
        <v>9000</v>
      </c>
      <c r="H41" s="30">
        <v>0</v>
      </c>
      <c r="I41" s="30">
        <v>0</v>
      </c>
      <c r="J41" s="41" t="s">
        <v>261</v>
      </c>
      <c r="K41" s="42" t="s">
        <v>250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41" t="s">
        <v>261</v>
      </c>
      <c r="T41" s="42" t="s">
        <v>250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41" t="s">
        <v>261</v>
      </c>
      <c r="AC41" s="42" t="s">
        <v>250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41" t="s">
        <v>261</v>
      </c>
      <c r="AL41" s="42" t="s">
        <v>250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41" t="s">
        <v>261</v>
      </c>
      <c r="AU41" s="42" t="s">
        <v>250</v>
      </c>
      <c r="AV41" s="30">
        <v>0</v>
      </c>
      <c r="AW41" s="30">
        <v>0</v>
      </c>
    </row>
    <row r="42" spans="1:55" ht="12" customHeight="1">
      <c r="A42" s="39">
        <v>11</v>
      </c>
      <c r="B42" s="40" t="s">
        <v>16</v>
      </c>
      <c r="C42" s="35">
        <v>8145420</v>
      </c>
      <c r="D42" s="35">
        <v>2701595</v>
      </c>
      <c r="E42" s="35">
        <v>0</v>
      </c>
      <c r="F42" s="35">
        <v>0</v>
      </c>
      <c r="G42" s="35">
        <f>0</f>
        <v>0</v>
      </c>
      <c r="H42" s="35">
        <f>0</f>
        <v>0</v>
      </c>
      <c r="I42" s="35">
        <f>0</f>
        <v>0</v>
      </c>
      <c r="J42" s="39">
        <v>11</v>
      </c>
      <c r="K42" s="40" t="s">
        <v>16</v>
      </c>
      <c r="L42" s="35">
        <f>0</f>
        <v>0</v>
      </c>
      <c r="M42" s="35">
        <f>0</f>
        <v>0</v>
      </c>
      <c r="N42" s="35">
        <f>0</f>
        <v>0</v>
      </c>
      <c r="O42" s="35">
        <f>0</f>
        <v>0</v>
      </c>
      <c r="P42" s="35">
        <f>0</f>
        <v>0</v>
      </c>
      <c r="Q42" s="35">
        <f>0</f>
        <v>0</v>
      </c>
      <c r="R42" s="35">
        <f>0</f>
        <v>0</v>
      </c>
      <c r="S42" s="39">
        <v>11</v>
      </c>
      <c r="T42" s="40" t="s">
        <v>16</v>
      </c>
      <c r="U42" s="35">
        <f>0</f>
        <v>0</v>
      </c>
      <c r="V42" s="35">
        <f>0</f>
        <v>0</v>
      </c>
      <c r="W42" s="35">
        <f>0</f>
        <v>0</v>
      </c>
      <c r="X42" s="35">
        <f>0</f>
        <v>0</v>
      </c>
      <c r="Y42" s="35">
        <f>0</f>
        <v>0</v>
      </c>
      <c r="Z42" s="35">
        <f>0</f>
        <v>0</v>
      </c>
      <c r="AA42" s="35">
        <f>0</f>
        <v>0</v>
      </c>
      <c r="AB42" s="39">
        <v>11</v>
      </c>
      <c r="AC42" s="40" t="s">
        <v>16</v>
      </c>
      <c r="AD42" s="35">
        <f>0</f>
        <v>0</v>
      </c>
      <c r="AE42" s="35">
        <f>0</f>
        <v>0</v>
      </c>
      <c r="AF42" s="35">
        <f>0</f>
        <v>0</v>
      </c>
      <c r="AG42" s="35">
        <f>0</f>
        <v>0</v>
      </c>
      <c r="AH42" s="35">
        <f>0</f>
        <v>0</v>
      </c>
      <c r="AI42" s="35">
        <f>0</f>
        <v>0</v>
      </c>
      <c r="AJ42" s="35">
        <f>0</f>
        <v>0</v>
      </c>
      <c r="AK42" s="39">
        <v>11</v>
      </c>
      <c r="AL42" s="40" t="s">
        <v>16</v>
      </c>
      <c r="AM42" s="35">
        <f>0</f>
        <v>0</v>
      </c>
      <c r="AN42" s="35">
        <f>0</f>
        <v>0</v>
      </c>
      <c r="AO42" s="35">
        <f>0</f>
        <v>0</v>
      </c>
      <c r="AP42" s="35">
        <f>0</f>
        <v>0</v>
      </c>
      <c r="AQ42" s="35">
        <f>0</f>
        <v>0</v>
      </c>
      <c r="AR42" s="35">
        <f>0</f>
        <v>0</v>
      </c>
      <c r="AS42" s="35">
        <f>0</f>
        <v>0</v>
      </c>
      <c r="AT42" s="39">
        <v>11</v>
      </c>
      <c r="AU42" s="40" t="s">
        <v>16</v>
      </c>
      <c r="AV42" s="35">
        <f>0</f>
        <v>0</v>
      </c>
      <c r="AW42" s="35">
        <f>0</f>
        <v>0</v>
      </c>
    </row>
    <row r="43" spans="1:55" ht="12" customHeight="1">
      <c r="A43" s="41" t="s">
        <v>70</v>
      </c>
      <c r="B43" s="42" t="s">
        <v>15</v>
      </c>
      <c r="C43" s="36">
        <v>936375.85</v>
      </c>
      <c r="D43" s="36">
        <v>269888.11</v>
      </c>
      <c r="E43" s="36">
        <v>0</v>
      </c>
      <c r="F43" s="36">
        <v>0</v>
      </c>
      <c r="G43" s="36">
        <f>0</f>
        <v>0</v>
      </c>
      <c r="H43" s="36">
        <f>0</f>
        <v>0</v>
      </c>
      <c r="I43" s="36">
        <f>0</f>
        <v>0</v>
      </c>
      <c r="J43" s="41" t="s">
        <v>70</v>
      </c>
      <c r="K43" s="42" t="s">
        <v>15</v>
      </c>
      <c r="L43" s="36">
        <f>0</f>
        <v>0</v>
      </c>
      <c r="M43" s="36">
        <f>0</f>
        <v>0</v>
      </c>
      <c r="N43" s="36">
        <f>0</f>
        <v>0</v>
      </c>
      <c r="O43" s="36">
        <f>0</f>
        <v>0</v>
      </c>
      <c r="P43" s="36">
        <f>0</f>
        <v>0</v>
      </c>
      <c r="Q43" s="36">
        <f>0</f>
        <v>0</v>
      </c>
      <c r="R43" s="36">
        <f>0</f>
        <v>0</v>
      </c>
      <c r="S43" s="41" t="s">
        <v>70</v>
      </c>
      <c r="T43" s="42" t="s">
        <v>15</v>
      </c>
      <c r="U43" s="36">
        <f>0</f>
        <v>0</v>
      </c>
      <c r="V43" s="36">
        <f>0</f>
        <v>0</v>
      </c>
      <c r="W43" s="36">
        <f>0</f>
        <v>0</v>
      </c>
      <c r="X43" s="36">
        <f>0</f>
        <v>0</v>
      </c>
      <c r="Y43" s="36">
        <f>0</f>
        <v>0</v>
      </c>
      <c r="Z43" s="36">
        <f>0</f>
        <v>0</v>
      </c>
      <c r="AA43" s="36">
        <f>0</f>
        <v>0</v>
      </c>
      <c r="AB43" s="41" t="s">
        <v>70</v>
      </c>
      <c r="AC43" s="42" t="s">
        <v>15</v>
      </c>
      <c r="AD43" s="36">
        <f>0</f>
        <v>0</v>
      </c>
      <c r="AE43" s="36">
        <f>0</f>
        <v>0</v>
      </c>
      <c r="AF43" s="36">
        <f>0</f>
        <v>0</v>
      </c>
      <c r="AG43" s="36">
        <f>0</f>
        <v>0</v>
      </c>
      <c r="AH43" s="36">
        <f>0</f>
        <v>0</v>
      </c>
      <c r="AI43" s="36">
        <f>0</f>
        <v>0</v>
      </c>
      <c r="AJ43" s="36">
        <f>0</f>
        <v>0</v>
      </c>
      <c r="AK43" s="41" t="s">
        <v>70</v>
      </c>
      <c r="AL43" s="42" t="s">
        <v>15</v>
      </c>
      <c r="AM43" s="36">
        <f>0</f>
        <v>0</v>
      </c>
      <c r="AN43" s="36">
        <f>0</f>
        <v>0</v>
      </c>
      <c r="AO43" s="36">
        <f>0</f>
        <v>0</v>
      </c>
      <c r="AP43" s="36">
        <f>0</f>
        <v>0</v>
      </c>
      <c r="AQ43" s="36">
        <f>0</f>
        <v>0</v>
      </c>
      <c r="AR43" s="36">
        <f>0</f>
        <v>0</v>
      </c>
      <c r="AS43" s="36">
        <f>0</f>
        <v>0</v>
      </c>
      <c r="AT43" s="41" t="s">
        <v>70</v>
      </c>
      <c r="AU43" s="42" t="s">
        <v>15</v>
      </c>
      <c r="AV43" s="36">
        <f>0</f>
        <v>0</v>
      </c>
      <c r="AW43" s="36">
        <f>0</f>
        <v>0</v>
      </c>
    </row>
    <row r="44" spans="1:55" ht="12" customHeight="1">
      <c r="A44" s="38">
        <v>12</v>
      </c>
      <c r="B44" s="34" t="s">
        <v>71</v>
      </c>
      <c r="C44" s="135">
        <f>SUM(C37-C38+C42)</f>
        <v>2772285.6999999974</v>
      </c>
      <c r="D44" s="135">
        <f t="shared" ref="D44:H44" si="33">SUM(D37-D38+D42)</f>
        <v>2.3199999984353781</v>
      </c>
      <c r="E44" s="135">
        <f t="shared" si="33"/>
        <v>0</v>
      </c>
      <c r="F44" s="135">
        <f t="shared" si="33"/>
        <v>0</v>
      </c>
      <c r="G44" s="135">
        <f t="shared" si="33"/>
        <v>0</v>
      </c>
      <c r="H44" s="135">
        <f t="shared" si="33"/>
        <v>0</v>
      </c>
      <c r="I44" s="135">
        <f>SUM(I37-I38+I42)</f>
        <v>0</v>
      </c>
      <c r="J44" s="38">
        <v>12</v>
      </c>
      <c r="K44" s="34" t="s">
        <v>71</v>
      </c>
      <c r="L44" s="135">
        <f t="shared" ref="L44:Q44" si="34">SUM(L37-L38+L42)</f>
        <v>0</v>
      </c>
      <c r="M44" s="135">
        <f t="shared" si="34"/>
        <v>0</v>
      </c>
      <c r="N44" s="135">
        <f t="shared" si="34"/>
        <v>0</v>
      </c>
      <c r="O44" s="135">
        <f t="shared" si="34"/>
        <v>0</v>
      </c>
      <c r="P44" s="135">
        <f t="shared" si="34"/>
        <v>0</v>
      </c>
      <c r="Q44" s="135">
        <f t="shared" si="34"/>
        <v>0</v>
      </c>
      <c r="R44" s="135">
        <f>SUM(R37-R38+R42)</f>
        <v>0</v>
      </c>
      <c r="S44" s="38">
        <v>12</v>
      </c>
      <c r="T44" s="34" t="s">
        <v>71</v>
      </c>
      <c r="U44" s="135">
        <f t="shared" ref="U44:Z44" si="35">SUM(U37-U38+U42)</f>
        <v>0</v>
      </c>
      <c r="V44" s="135">
        <f t="shared" si="35"/>
        <v>0</v>
      </c>
      <c r="W44" s="135">
        <f t="shared" si="35"/>
        <v>0</v>
      </c>
      <c r="X44" s="135">
        <f t="shared" si="35"/>
        <v>0</v>
      </c>
      <c r="Y44" s="135">
        <f t="shared" si="35"/>
        <v>0</v>
      </c>
      <c r="Z44" s="135">
        <f t="shared" si="35"/>
        <v>0</v>
      </c>
      <c r="AA44" s="135">
        <f>SUM(AA37-AA38+AA42)</f>
        <v>0</v>
      </c>
      <c r="AB44" s="38">
        <v>12</v>
      </c>
      <c r="AC44" s="34" t="s">
        <v>71</v>
      </c>
      <c r="AD44" s="135">
        <f t="shared" ref="AD44:AI44" si="36">SUM(AD37-AD38+AD42)</f>
        <v>0</v>
      </c>
      <c r="AE44" s="135">
        <f t="shared" si="36"/>
        <v>0</v>
      </c>
      <c r="AF44" s="135">
        <f t="shared" si="36"/>
        <v>0</v>
      </c>
      <c r="AG44" s="135">
        <f t="shared" si="36"/>
        <v>0</v>
      </c>
      <c r="AH44" s="135">
        <f t="shared" si="36"/>
        <v>0</v>
      </c>
      <c r="AI44" s="135">
        <f t="shared" si="36"/>
        <v>0</v>
      </c>
      <c r="AJ44" s="135">
        <f>SUM(AJ37-AJ38+AJ42)</f>
        <v>0</v>
      </c>
      <c r="AK44" s="38">
        <v>12</v>
      </c>
      <c r="AL44" s="34" t="s">
        <v>71</v>
      </c>
      <c r="AM44" s="135">
        <f t="shared" ref="AM44:AR44" si="37">SUM(AM37-AM38+AM42)</f>
        <v>0</v>
      </c>
      <c r="AN44" s="135">
        <f t="shared" si="37"/>
        <v>0</v>
      </c>
      <c r="AO44" s="135">
        <f t="shared" si="37"/>
        <v>0</v>
      </c>
      <c r="AP44" s="135">
        <f t="shared" si="37"/>
        <v>0</v>
      </c>
      <c r="AQ44" s="135">
        <f t="shared" si="37"/>
        <v>0</v>
      </c>
      <c r="AR44" s="135">
        <f t="shared" si="37"/>
        <v>0</v>
      </c>
      <c r="AS44" s="135">
        <f>SUM(AS37-AS38+AS42)</f>
        <v>0</v>
      </c>
      <c r="AT44" s="38">
        <v>12</v>
      </c>
      <c r="AU44" s="34" t="s">
        <v>71</v>
      </c>
      <c r="AV44" s="135">
        <f t="shared" ref="AV44:AW44" si="38">SUM(AV37-AV38+AV42)</f>
        <v>0</v>
      </c>
      <c r="AW44" s="135">
        <f t="shared" si="38"/>
        <v>0</v>
      </c>
    </row>
    <row r="45" spans="1:55" ht="12" customHeight="1">
      <c r="A45" s="39">
        <v>13</v>
      </c>
      <c r="B45" s="40" t="s">
        <v>262</v>
      </c>
      <c r="C45" s="37">
        <v>24733107.68</v>
      </c>
      <c r="D45" s="37">
        <v>35430540.75</v>
      </c>
      <c r="E45" s="37">
        <v>32992698.75</v>
      </c>
      <c r="F45" s="37">
        <v>32992698.75</v>
      </c>
      <c r="G45" s="37">
        <v>26648069.75</v>
      </c>
      <c r="H45" s="37">
        <f t="shared" ref="H45" si="39">SUM(G45-H30-H39+H42)</f>
        <v>20936140.75</v>
      </c>
      <c r="I45" s="37">
        <f>SUM(H45-I30-I39+I42)</f>
        <v>16130791.75</v>
      </c>
      <c r="J45" s="39">
        <v>13</v>
      </c>
      <c r="K45" s="40" t="s">
        <v>262</v>
      </c>
      <c r="L45" s="37">
        <f>SUM(I45-L30-L39+L42)</f>
        <v>12449195</v>
      </c>
      <c r="M45" s="37">
        <f t="shared" ref="M45:Q45" si="40">SUM(L45-M30-M39+M42)</f>
        <v>10801595</v>
      </c>
      <c r="N45" s="37">
        <f t="shared" si="40"/>
        <v>9383400</v>
      </c>
      <c r="O45" s="37">
        <f t="shared" si="40"/>
        <v>8340800</v>
      </c>
      <c r="P45" s="37">
        <f t="shared" si="40"/>
        <v>7298200</v>
      </c>
      <c r="Q45" s="37">
        <f t="shared" si="40"/>
        <v>6255600</v>
      </c>
      <c r="R45" s="37">
        <f>SUM(Q45-R30-R39+R42)</f>
        <v>5213000</v>
      </c>
      <c r="S45" s="39">
        <v>13</v>
      </c>
      <c r="T45" s="40" t="s">
        <v>262</v>
      </c>
      <c r="U45" s="37">
        <f>SUM(R45-U30-U39+U42)</f>
        <v>4170400</v>
      </c>
      <c r="V45" s="37">
        <f t="shared" ref="V45:Y45" si="41">SUM(U45-V30-V39+V42)</f>
        <v>3127800</v>
      </c>
      <c r="W45" s="37">
        <f t="shared" si="41"/>
        <v>2085200</v>
      </c>
      <c r="X45" s="37">
        <f t="shared" si="41"/>
        <v>1042600</v>
      </c>
      <c r="Y45" s="37">
        <f t="shared" si="41"/>
        <v>0</v>
      </c>
      <c r="Z45" s="37">
        <f t="shared" ref="Z45" si="42">SUM(Y45-Z30-Z39+Z42)</f>
        <v>0</v>
      </c>
      <c r="AA45" s="37">
        <f>SUM(Z45-AA30-AA39+AA42)</f>
        <v>0</v>
      </c>
      <c r="AB45" s="39">
        <v>13</v>
      </c>
      <c r="AC45" s="40" t="s">
        <v>262</v>
      </c>
      <c r="AD45" s="37">
        <f>SUM(AA45-AD30-AD39+AD42)</f>
        <v>0</v>
      </c>
      <c r="AE45" s="37">
        <f t="shared" ref="AE45:AI45" si="43">SUM(AD45-AE30-AE39+AE42)</f>
        <v>0</v>
      </c>
      <c r="AF45" s="37">
        <f t="shared" si="43"/>
        <v>0</v>
      </c>
      <c r="AG45" s="37">
        <f t="shared" si="43"/>
        <v>0</v>
      </c>
      <c r="AH45" s="37">
        <f t="shared" si="43"/>
        <v>0</v>
      </c>
      <c r="AI45" s="37">
        <f t="shared" si="43"/>
        <v>0</v>
      </c>
      <c r="AJ45" s="37">
        <f>SUM(AI45-AJ30-AJ39+AJ42)</f>
        <v>0</v>
      </c>
      <c r="AK45" s="39">
        <v>13</v>
      </c>
      <c r="AL45" s="40" t="s">
        <v>262</v>
      </c>
      <c r="AM45" s="37">
        <f>SUM(AJ45-AM30-AM39+AM42)</f>
        <v>0</v>
      </c>
      <c r="AN45" s="37">
        <f t="shared" ref="AN45:AR45" si="44">SUM(AM45-AN30-AN39+AN42)</f>
        <v>0</v>
      </c>
      <c r="AO45" s="37">
        <f t="shared" si="44"/>
        <v>0</v>
      </c>
      <c r="AP45" s="37">
        <f t="shared" si="44"/>
        <v>0</v>
      </c>
      <c r="AQ45" s="37">
        <f t="shared" si="44"/>
        <v>0</v>
      </c>
      <c r="AR45" s="37">
        <f t="shared" si="44"/>
        <v>0</v>
      </c>
      <c r="AS45" s="37">
        <f>SUM(AR45-AS30-AS39+AS42)</f>
        <v>0</v>
      </c>
      <c r="AT45" s="39">
        <v>13</v>
      </c>
      <c r="AU45" s="40" t="s">
        <v>262</v>
      </c>
      <c r="AV45" s="37">
        <f>SUM(AS45-AV30-AV39+AV42)</f>
        <v>0</v>
      </c>
      <c r="AW45" s="37">
        <f t="shared" ref="AW45" si="45">SUM(AV45-AW30-AW39+AW42)</f>
        <v>0</v>
      </c>
    </row>
    <row r="46" spans="1:55" ht="24" customHeight="1">
      <c r="A46" s="41" t="s">
        <v>72</v>
      </c>
      <c r="B46" s="42" t="s">
        <v>263</v>
      </c>
      <c r="C46" s="36">
        <v>0</v>
      </c>
      <c r="D46" s="36">
        <v>13449540</v>
      </c>
      <c r="E46" s="36">
        <v>15639000</v>
      </c>
      <c r="F46" s="36">
        <v>15639000</v>
      </c>
      <c r="G46" s="36">
        <f>14596400</f>
        <v>14596400</v>
      </c>
      <c r="H46" s="36">
        <f>13553800</f>
        <v>13553800</v>
      </c>
      <c r="I46" s="36">
        <f>12511200</f>
        <v>12511200</v>
      </c>
      <c r="J46" s="41" t="s">
        <v>72</v>
      </c>
      <c r="K46" s="42" t="s">
        <v>263</v>
      </c>
      <c r="L46" s="36">
        <f>11468600</f>
        <v>11468600</v>
      </c>
      <c r="M46" s="36">
        <f>10426000</f>
        <v>10426000</v>
      </c>
      <c r="N46" s="36">
        <f>9383400</f>
        <v>9383400</v>
      </c>
      <c r="O46" s="36">
        <f>8340800</f>
        <v>8340800</v>
      </c>
      <c r="P46" s="36">
        <f>7298200</f>
        <v>7298200</v>
      </c>
      <c r="Q46" s="36">
        <f>6255600</f>
        <v>6255600</v>
      </c>
      <c r="R46" s="36">
        <f>5213000</f>
        <v>5213000</v>
      </c>
      <c r="S46" s="41" t="s">
        <v>72</v>
      </c>
      <c r="T46" s="42" t="s">
        <v>263</v>
      </c>
      <c r="U46" s="36">
        <f>4170400</f>
        <v>4170400</v>
      </c>
      <c r="V46" s="36">
        <f>3127800</f>
        <v>3127800</v>
      </c>
      <c r="W46" s="36">
        <f>2085200</f>
        <v>2085200</v>
      </c>
      <c r="X46" s="36">
        <f>1042600</f>
        <v>1042600</v>
      </c>
      <c r="Y46" s="36">
        <v>0</v>
      </c>
      <c r="Z46" s="36">
        <f>0</f>
        <v>0</v>
      </c>
      <c r="AA46" s="36">
        <f>0</f>
        <v>0</v>
      </c>
      <c r="AB46" s="41" t="s">
        <v>72</v>
      </c>
      <c r="AC46" s="42" t="s">
        <v>263</v>
      </c>
      <c r="AD46" s="36">
        <f>0</f>
        <v>0</v>
      </c>
      <c r="AE46" s="36">
        <f>0</f>
        <v>0</v>
      </c>
      <c r="AF46" s="36">
        <f>0</f>
        <v>0</v>
      </c>
      <c r="AG46" s="36">
        <f>0</f>
        <v>0</v>
      </c>
      <c r="AH46" s="36">
        <f>0</f>
        <v>0</v>
      </c>
      <c r="AI46" s="36">
        <f>0</f>
        <v>0</v>
      </c>
      <c r="AJ46" s="36">
        <f>0</f>
        <v>0</v>
      </c>
      <c r="AK46" s="41" t="s">
        <v>72</v>
      </c>
      <c r="AL46" s="42" t="s">
        <v>263</v>
      </c>
      <c r="AM46" s="36">
        <f>0</f>
        <v>0</v>
      </c>
      <c r="AN46" s="36">
        <f>0</f>
        <v>0</v>
      </c>
      <c r="AO46" s="36">
        <f>0</f>
        <v>0</v>
      </c>
      <c r="AP46" s="36">
        <f>0</f>
        <v>0</v>
      </c>
      <c r="AQ46" s="36">
        <f>0</f>
        <v>0</v>
      </c>
      <c r="AR46" s="36">
        <f>0</f>
        <v>0</v>
      </c>
      <c r="AS46" s="36">
        <f>0</f>
        <v>0</v>
      </c>
      <c r="AT46" s="41" t="s">
        <v>72</v>
      </c>
      <c r="AU46" s="42" t="s">
        <v>263</v>
      </c>
      <c r="AV46" s="36">
        <f>0</f>
        <v>0</v>
      </c>
      <c r="AW46" s="36">
        <f>0</f>
        <v>0</v>
      </c>
    </row>
    <row r="47" spans="1:55" ht="12" customHeight="1">
      <c r="A47" s="38">
        <v>14</v>
      </c>
      <c r="B47" s="34" t="s">
        <v>18</v>
      </c>
      <c r="C47" s="66">
        <f>0</f>
        <v>0</v>
      </c>
      <c r="D47" s="66">
        <v>573720</v>
      </c>
      <c r="E47" s="66">
        <v>438053</v>
      </c>
      <c r="F47" s="66">
        <v>438053</v>
      </c>
      <c r="G47" s="66">
        <v>48720</v>
      </c>
      <c r="H47" s="66">
        <v>48720</v>
      </c>
      <c r="I47" s="66">
        <v>48720</v>
      </c>
      <c r="J47" s="38">
        <v>14</v>
      </c>
      <c r="K47" s="34" t="s">
        <v>18</v>
      </c>
      <c r="L47" s="66">
        <v>46460</v>
      </c>
      <c r="M47" s="66">
        <f>0</f>
        <v>0</v>
      </c>
      <c r="N47" s="66">
        <f>0</f>
        <v>0</v>
      </c>
      <c r="O47" s="66">
        <f>0</f>
        <v>0</v>
      </c>
      <c r="P47" s="66">
        <f>0</f>
        <v>0</v>
      </c>
      <c r="Q47" s="66">
        <f>0</f>
        <v>0</v>
      </c>
      <c r="R47" s="66">
        <f>0</f>
        <v>0</v>
      </c>
      <c r="S47" s="38">
        <v>14</v>
      </c>
      <c r="T47" s="34" t="s">
        <v>18</v>
      </c>
      <c r="U47" s="66">
        <f>0</f>
        <v>0</v>
      </c>
      <c r="V47" s="66">
        <f>0</f>
        <v>0</v>
      </c>
      <c r="W47" s="66">
        <f>0</f>
        <v>0</v>
      </c>
      <c r="X47" s="66">
        <f>0</f>
        <v>0</v>
      </c>
      <c r="Y47" s="66">
        <f>0</f>
        <v>0</v>
      </c>
      <c r="Z47" s="66">
        <f>0</f>
        <v>0</v>
      </c>
      <c r="AA47" s="66">
        <f>0</f>
        <v>0</v>
      </c>
      <c r="AB47" s="38">
        <v>14</v>
      </c>
      <c r="AC47" s="34" t="s">
        <v>18</v>
      </c>
      <c r="AD47" s="66">
        <f>0</f>
        <v>0</v>
      </c>
      <c r="AE47" s="66">
        <f>0</f>
        <v>0</v>
      </c>
      <c r="AF47" s="66">
        <f>0</f>
        <v>0</v>
      </c>
      <c r="AG47" s="66">
        <f>0</f>
        <v>0</v>
      </c>
      <c r="AH47" s="66">
        <f>0</f>
        <v>0</v>
      </c>
      <c r="AI47" s="66">
        <f>0</f>
        <v>0</v>
      </c>
      <c r="AJ47" s="66">
        <f>0</f>
        <v>0</v>
      </c>
      <c r="AK47" s="38">
        <v>14</v>
      </c>
      <c r="AL47" s="34" t="s">
        <v>18</v>
      </c>
      <c r="AM47" s="66">
        <f>0</f>
        <v>0</v>
      </c>
      <c r="AN47" s="66">
        <f>0</f>
        <v>0</v>
      </c>
      <c r="AO47" s="66">
        <f>0</f>
        <v>0</v>
      </c>
      <c r="AP47" s="66">
        <f>0</f>
        <v>0</v>
      </c>
      <c r="AQ47" s="66">
        <f>0</f>
        <v>0</v>
      </c>
      <c r="AR47" s="66">
        <f>0</f>
        <v>0</v>
      </c>
      <c r="AS47" s="66">
        <f>0</f>
        <v>0</v>
      </c>
      <c r="AT47" s="38">
        <v>14</v>
      </c>
      <c r="AU47" s="34" t="s">
        <v>18</v>
      </c>
      <c r="AV47" s="66">
        <f>0</f>
        <v>0</v>
      </c>
      <c r="AW47" s="66">
        <f>0</f>
        <v>0</v>
      </c>
    </row>
    <row r="48" spans="1:55" ht="36" customHeight="1">
      <c r="A48" s="38">
        <v>15</v>
      </c>
      <c r="B48" s="34" t="s">
        <v>74</v>
      </c>
      <c r="C48" s="66">
        <f>0</f>
        <v>0</v>
      </c>
      <c r="D48" s="66">
        <f>0</f>
        <v>0</v>
      </c>
      <c r="E48" s="66">
        <f>0</f>
        <v>0</v>
      </c>
      <c r="F48" s="66">
        <f>0</f>
        <v>0</v>
      </c>
      <c r="G48" s="66">
        <f>0</f>
        <v>0</v>
      </c>
      <c r="H48" s="66">
        <f>0</f>
        <v>0</v>
      </c>
      <c r="I48" s="66">
        <f>0</f>
        <v>0</v>
      </c>
      <c r="J48" s="38">
        <v>15</v>
      </c>
      <c r="K48" s="34" t="s">
        <v>74</v>
      </c>
      <c r="L48" s="66">
        <f>0</f>
        <v>0</v>
      </c>
      <c r="M48" s="66">
        <f>0</f>
        <v>0</v>
      </c>
      <c r="N48" s="66">
        <f>0</f>
        <v>0</v>
      </c>
      <c r="O48" s="66">
        <f>0</f>
        <v>0</v>
      </c>
      <c r="P48" s="66">
        <f>0</f>
        <v>0</v>
      </c>
      <c r="Q48" s="66">
        <f>0</f>
        <v>0</v>
      </c>
      <c r="R48" s="66">
        <f>0</f>
        <v>0</v>
      </c>
      <c r="S48" s="38">
        <v>15</v>
      </c>
      <c r="T48" s="34" t="s">
        <v>74</v>
      </c>
      <c r="U48" s="66">
        <f>0</f>
        <v>0</v>
      </c>
      <c r="V48" s="66">
        <f>0</f>
        <v>0</v>
      </c>
      <c r="W48" s="66">
        <f>0</f>
        <v>0</v>
      </c>
      <c r="X48" s="66">
        <f>0</f>
        <v>0</v>
      </c>
      <c r="Y48" s="66">
        <f>0</f>
        <v>0</v>
      </c>
      <c r="Z48" s="66">
        <f>0</f>
        <v>0</v>
      </c>
      <c r="AA48" s="66">
        <f>0</f>
        <v>0</v>
      </c>
      <c r="AB48" s="38">
        <v>15</v>
      </c>
      <c r="AC48" s="34" t="s">
        <v>74</v>
      </c>
      <c r="AD48" s="66">
        <f>0</f>
        <v>0</v>
      </c>
      <c r="AE48" s="66">
        <f>0</f>
        <v>0</v>
      </c>
      <c r="AF48" s="66">
        <f>0</f>
        <v>0</v>
      </c>
      <c r="AG48" s="66">
        <f>0</f>
        <v>0</v>
      </c>
      <c r="AH48" s="66">
        <f>0</f>
        <v>0</v>
      </c>
      <c r="AI48" s="66">
        <f>0</f>
        <v>0</v>
      </c>
      <c r="AJ48" s="66">
        <f>0</f>
        <v>0</v>
      </c>
      <c r="AK48" s="38">
        <v>15</v>
      </c>
      <c r="AL48" s="34" t="s">
        <v>74</v>
      </c>
      <c r="AM48" s="66">
        <f>0</f>
        <v>0</v>
      </c>
      <c r="AN48" s="66">
        <f>0</f>
        <v>0</v>
      </c>
      <c r="AO48" s="66">
        <f>0</f>
        <v>0</v>
      </c>
      <c r="AP48" s="66">
        <f>0</f>
        <v>0</v>
      </c>
      <c r="AQ48" s="66">
        <f>0</f>
        <v>0</v>
      </c>
      <c r="AR48" s="66">
        <f>0</f>
        <v>0</v>
      </c>
      <c r="AS48" s="66">
        <f>0</f>
        <v>0</v>
      </c>
      <c r="AT48" s="38">
        <v>15</v>
      </c>
      <c r="AU48" s="34" t="s">
        <v>74</v>
      </c>
      <c r="AV48" s="66">
        <f>0</f>
        <v>0</v>
      </c>
      <c r="AW48" s="66">
        <f>0</f>
        <v>0</v>
      </c>
    </row>
    <row r="49" spans="1:55" ht="24" customHeight="1">
      <c r="A49" s="38">
        <v>16</v>
      </c>
      <c r="B49" s="34" t="s">
        <v>75</v>
      </c>
      <c r="C49" s="66">
        <v>0</v>
      </c>
      <c r="D49" s="66">
        <v>0</v>
      </c>
      <c r="E49" s="66">
        <f>SUM(E83)</f>
        <v>4596400</v>
      </c>
      <c r="F49" s="66">
        <f>SUM(F83)</f>
        <v>4596400</v>
      </c>
      <c r="G49" s="66">
        <f t="shared" ref="G49:H49" si="46">SUM(G83)</f>
        <v>5260929</v>
      </c>
      <c r="H49" s="66">
        <f t="shared" si="46"/>
        <v>4669329</v>
      </c>
      <c r="I49" s="66">
        <f>SUM(I83)</f>
        <v>3762749</v>
      </c>
      <c r="J49" s="38">
        <v>16</v>
      </c>
      <c r="K49" s="34" t="s">
        <v>75</v>
      </c>
      <c r="L49" s="66">
        <f t="shared" ref="L49:Q49" si="47">SUM(L83)</f>
        <v>2638996.75</v>
      </c>
      <c r="M49" s="66">
        <f t="shared" si="47"/>
        <v>605000</v>
      </c>
      <c r="N49" s="66">
        <f t="shared" si="47"/>
        <v>375595</v>
      </c>
      <c r="O49" s="66">
        <f t="shared" si="47"/>
        <v>0</v>
      </c>
      <c r="P49" s="66">
        <f t="shared" si="47"/>
        <v>0</v>
      </c>
      <c r="Q49" s="66">
        <f t="shared" si="47"/>
        <v>0</v>
      </c>
      <c r="R49" s="66">
        <f>SUM(R83)</f>
        <v>0</v>
      </c>
      <c r="S49" s="38">
        <v>16</v>
      </c>
      <c r="T49" s="34" t="s">
        <v>75</v>
      </c>
      <c r="U49" s="66">
        <f t="shared" ref="U49:Z49" si="48">SUM(U83)</f>
        <v>0</v>
      </c>
      <c r="V49" s="66">
        <f t="shared" si="48"/>
        <v>0</v>
      </c>
      <c r="W49" s="66">
        <f t="shared" si="48"/>
        <v>0</v>
      </c>
      <c r="X49" s="66">
        <f t="shared" si="48"/>
        <v>0</v>
      </c>
      <c r="Y49" s="66">
        <f t="shared" si="48"/>
        <v>0</v>
      </c>
      <c r="Z49" s="66">
        <f t="shared" si="48"/>
        <v>0</v>
      </c>
      <c r="AA49" s="66">
        <f>SUM(AA83)</f>
        <v>0</v>
      </c>
      <c r="AB49" s="38">
        <v>16</v>
      </c>
      <c r="AC49" s="34" t="s">
        <v>75</v>
      </c>
      <c r="AD49" s="66">
        <f t="shared" ref="AD49:AI49" si="49">SUM(AD83)</f>
        <v>0</v>
      </c>
      <c r="AE49" s="66">
        <f t="shared" si="49"/>
        <v>0</v>
      </c>
      <c r="AF49" s="66">
        <f t="shared" si="49"/>
        <v>0</v>
      </c>
      <c r="AG49" s="66">
        <f t="shared" si="49"/>
        <v>0</v>
      </c>
      <c r="AH49" s="66">
        <f t="shared" si="49"/>
        <v>0</v>
      </c>
      <c r="AI49" s="66">
        <f t="shared" si="49"/>
        <v>0</v>
      </c>
      <c r="AJ49" s="66">
        <f>SUM(AJ83)</f>
        <v>0</v>
      </c>
      <c r="AK49" s="38">
        <v>16</v>
      </c>
      <c r="AL49" s="34" t="s">
        <v>75</v>
      </c>
      <c r="AM49" s="66">
        <f t="shared" ref="AM49:AR49" si="50">SUM(AM83)</f>
        <v>0</v>
      </c>
      <c r="AN49" s="66">
        <f t="shared" si="50"/>
        <v>0</v>
      </c>
      <c r="AO49" s="66">
        <f t="shared" si="50"/>
        <v>0</v>
      </c>
      <c r="AP49" s="66">
        <f t="shared" si="50"/>
        <v>0</v>
      </c>
      <c r="AQ49" s="66">
        <f t="shared" si="50"/>
        <v>0</v>
      </c>
      <c r="AR49" s="66">
        <f t="shared" si="50"/>
        <v>0</v>
      </c>
      <c r="AS49" s="66">
        <f>SUM(AS83)</f>
        <v>0</v>
      </c>
      <c r="AT49" s="38">
        <v>16</v>
      </c>
      <c r="AU49" s="34" t="s">
        <v>75</v>
      </c>
      <c r="AV49" s="66">
        <f t="shared" ref="AV49:AW49" si="51">SUM(AV83)</f>
        <v>0</v>
      </c>
      <c r="AW49" s="66">
        <f t="shared" si="51"/>
        <v>0</v>
      </c>
    </row>
    <row r="50" spans="1:55" ht="12" customHeight="1">
      <c r="A50" s="39">
        <v>17</v>
      </c>
      <c r="B50" s="40" t="s">
        <v>264</v>
      </c>
      <c r="C50" s="35">
        <f>0</f>
        <v>0</v>
      </c>
      <c r="D50" s="35">
        <f>0</f>
        <v>0</v>
      </c>
      <c r="E50" s="35">
        <f>0</f>
        <v>0</v>
      </c>
      <c r="F50" s="35">
        <f>0</f>
        <v>0</v>
      </c>
      <c r="G50" s="35">
        <f>0</f>
        <v>0</v>
      </c>
      <c r="H50" s="35">
        <f>0</f>
        <v>0</v>
      </c>
      <c r="I50" s="35">
        <f>0</f>
        <v>0</v>
      </c>
      <c r="J50" s="39">
        <v>17</v>
      </c>
      <c r="K50" s="40" t="s">
        <v>264</v>
      </c>
      <c r="L50" s="35">
        <f>0</f>
        <v>0</v>
      </c>
      <c r="M50" s="35">
        <f>0</f>
        <v>0</v>
      </c>
      <c r="N50" s="35">
        <f>0</f>
        <v>0</v>
      </c>
      <c r="O50" s="35">
        <f>0</f>
        <v>0</v>
      </c>
      <c r="P50" s="35">
        <f>0</f>
        <v>0</v>
      </c>
      <c r="Q50" s="35">
        <f>0</f>
        <v>0</v>
      </c>
      <c r="R50" s="35">
        <f>0</f>
        <v>0</v>
      </c>
      <c r="S50" s="39">
        <v>17</v>
      </c>
      <c r="T50" s="40" t="s">
        <v>264</v>
      </c>
      <c r="U50" s="35">
        <f>0</f>
        <v>0</v>
      </c>
      <c r="V50" s="35">
        <f>0</f>
        <v>0</v>
      </c>
      <c r="W50" s="35">
        <f>0</f>
        <v>0</v>
      </c>
      <c r="X50" s="35">
        <f>0</f>
        <v>0</v>
      </c>
      <c r="Y50" s="35">
        <f>0</f>
        <v>0</v>
      </c>
      <c r="Z50" s="35">
        <f>0</f>
        <v>0</v>
      </c>
      <c r="AA50" s="35">
        <f>0</f>
        <v>0</v>
      </c>
      <c r="AB50" s="39">
        <v>17</v>
      </c>
      <c r="AC50" s="40" t="s">
        <v>264</v>
      </c>
      <c r="AD50" s="35">
        <f>0</f>
        <v>0</v>
      </c>
      <c r="AE50" s="35">
        <f>0</f>
        <v>0</v>
      </c>
      <c r="AF50" s="35">
        <f>0</f>
        <v>0</v>
      </c>
      <c r="AG50" s="35">
        <f>0</f>
        <v>0</v>
      </c>
      <c r="AH50" s="35">
        <f>0</f>
        <v>0</v>
      </c>
      <c r="AI50" s="35">
        <f>0</f>
        <v>0</v>
      </c>
      <c r="AJ50" s="35">
        <f>0</f>
        <v>0</v>
      </c>
      <c r="AK50" s="39">
        <v>17</v>
      </c>
      <c r="AL50" s="40" t="s">
        <v>264</v>
      </c>
      <c r="AM50" s="35">
        <f>0</f>
        <v>0</v>
      </c>
      <c r="AN50" s="35">
        <f>0</f>
        <v>0</v>
      </c>
      <c r="AO50" s="35">
        <f>0</f>
        <v>0</v>
      </c>
      <c r="AP50" s="35">
        <f>0</f>
        <v>0</v>
      </c>
      <c r="AQ50" s="35">
        <f>0</f>
        <v>0</v>
      </c>
      <c r="AR50" s="35">
        <f>0</f>
        <v>0</v>
      </c>
      <c r="AS50" s="35">
        <f>0</f>
        <v>0</v>
      </c>
      <c r="AT50" s="39">
        <v>17</v>
      </c>
      <c r="AU50" s="40" t="s">
        <v>264</v>
      </c>
      <c r="AV50" s="35">
        <f>0</f>
        <v>0</v>
      </c>
      <c r="AW50" s="35">
        <f>0</f>
        <v>0</v>
      </c>
    </row>
    <row r="51" spans="1:55" ht="12" customHeight="1">
      <c r="A51" s="220" t="s">
        <v>76</v>
      </c>
      <c r="B51" s="223" t="s">
        <v>265</v>
      </c>
      <c r="C51" s="224">
        <f>0</f>
        <v>0</v>
      </c>
      <c r="D51" s="224">
        <f>0</f>
        <v>0</v>
      </c>
      <c r="E51" s="224">
        <f>0</f>
        <v>0</v>
      </c>
      <c r="F51" s="224">
        <f>0</f>
        <v>0</v>
      </c>
      <c r="G51" s="224">
        <f>0</f>
        <v>0</v>
      </c>
      <c r="H51" s="224">
        <f>0</f>
        <v>0</v>
      </c>
      <c r="I51" s="224">
        <f>0</f>
        <v>0</v>
      </c>
      <c r="J51" s="220" t="s">
        <v>76</v>
      </c>
      <c r="K51" s="223" t="s">
        <v>265</v>
      </c>
      <c r="L51" s="224">
        <f>0</f>
        <v>0</v>
      </c>
      <c r="M51" s="224">
        <f>0</f>
        <v>0</v>
      </c>
      <c r="N51" s="224">
        <f>0</f>
        <v>0</v>
      </c>
      <c r="O51" s="224">
        <f>0</f>
        <v>0</v>
      </c>
      <c r="P51" s="224">
        <f>0</f>
        <v>0</v>
      </c>
      <c r="Q51" s="224">
        <f>0</f>
        <v>0</v>
      </c>
      <c r="R51" s="224">
        <f>0</f>
        <v>0</v>
      </c>
      <c r="S51" s="220" t="s">
        <v>76</v>
      </c>
      <c r="T51" s="223" t="s">
        <v>265</v>
      </c>
      <c r="U51" s="224">
        <f>0</f>
        <v>0</v>
      </c>
      <c r="V51" s="224">
        <f>0</f>
        <v>0</v>
      </c>
      <c r="W51" s="224">
        <f>0</f>
        <v>0</v>
      </c>
      <c r="X51" s="224">
        <f>0</f>
        <v>0</v>
      </c>
      <c r="Y51" s="224">
        <f>0</f>
        <v>0</v>
      </c>
      <c r="Z51" s="224">
        <f>0</f>
        <v>0</v>
      </c>
      <c r="AA51" s="224">
        <f>0</f>
        <v>0</v>
      </c>
      <c r="AB51" s="220" t="s">
        <v>76</v>
      </c>
      <c r="AC51" s="223" t="s">
        <v>265</v>
      </c>
      <c r="AD51" s="224">
        <f>0</f>
        <v>0</v>
      </c>
      <c r="AE51" s="224">
        <f>0</f>
        <v>0</v>
      </c>
      <c r="AF51" s="224">
        <f>0</f>
        <v>0</v>
      </c>
      <c r="AG51" s="224">
        <f>0</f>
        <v>0</v>
      </c>
      <c r="AH51" s="224">
        <f>0</f>
        <v>0</v>
      </c>
      <c r="AI51" s="224">
        <f>0</f>
        <v>0</v>
      </c>
      <c r="AJ51" s="224">
        <f>0</f>
        <v>0</v>
      </c>
      <c r="AK51" s="220" t="s">
        <v>76</v>
      </c>
      <c r="AL51" s="223" t="s">
        <v>265</v>
      </c>
      <c r="AM51" s="224">
        <f>0</f>
        <v>0</v>
      </c>
      <c r="AN51" s="224">
        <f>0</f>
        <v>0</v>
      </c>
      <c r="AO51" s="224">
        <f>0</f>
        <v>0</v>
      </c>
      <c r="AP51" s="224">
        <f>0</f>
        <v>0</v>
      </c>
      <c r="AQ51" s="224">
        <f>0</f>
        <v>0</v>
      </c>
      <c r="AR51" s="224">
        <f>0</f>
        <v>0</v>
      </c>
      <c r="AS51" s="224">
        <f>0</f>
        <v>0</v>
      </c>
      <c r="AT51" s="220" t="s">
        <v>76</v>
      </c>
      <c r="AU51" s="223" t="s">
        <v>265</v>
      </c>
      <c r="AV51" s="224">
        <f>0</f>
        <v>0</v>
      </c>
      <c r="AW51" s="224">
        <f>0</f>
        <v>0</v>
      </c>
    </row>
    <row r="52" spans="1:55" ht="12" customHeight="1">
      <c r="A52" s="220" t="s">
        <v>266</v>
      </c>
      <c r="B52" s="223" t="s">
        <v>267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4">
        <v>0</v>
      </c>
      <c r="I52" s="224">
        <v>0</v>
      </c>
      <c r="J52" s="220" t="s">
        <v>266</v>
      </c>
      <c r="K52" s="223" t="s">
        <v>267</v>
      </c>
      <c r="L52" s="224">
        <v>0</v>
      </c>
      <c r="M52" s="224">
        <v>0</v>
      </c>
      <c r="N52" s="224">
        <v>0</v>
      </c>
      <c r="O52" s="224">
        <v>0</v>
      </c>
      <c r="P52" s="224">
        <v>0</v>
      </c>
      <c r="Q52" s="224">
        <v>0</v>
      </c>
      <c r="R52" s="224">
        <v>0</v>
      </c>
      <c r="S52" s="220" t="s">
        <v>266</v>
      </c>
      <c r="T52" s="223" t="s">
        <v>267</v>
      </c>
      <c r="U52" s="224">
        <v>0</v>
      </c>
      <c r="V52" s="224">
        <v>0</v>
      </c>
      <c r="W52" s="224">
        <v>0</v>
      </c>
      <c r="X52" s="224">
        <v>0</v>
      </c>
      <c r="Y52" s="224">
        <v>0</v>
      </c>
      <c r="Z52" s="224">
        <v>0</v>
      </c>
      <c r="AA52" s="224">
        <v>0</v>
      </c>
      <c r="AB52" s="220" t="s">
        <v>266</v>
      </c>
      <c r="AC52" s="223" t="s">
        <v>267</v>
      </c>
      <c r="AD52" s="224">
        <v>0</v>
      </c>
      <c r="AE52" s="224">
        <v>0</v>
      </c>
      <c r="AF52" s="224">
        <v>0</v>
      </c>
      <c r="AG52" s="224">
        <v>0</v>
      </c>
      <c r="AH52" s="224">
        <v>0</v>
      </c>
      <c r="AI52" s="224">
        <v>0</v>
      </c>
      <c r="AJ52" s="224">
        <v>0</v>
      </c>
      <c r="AK52" s="220" t="s">
        <v>266</v>
      </c>
      <c r="AL52" s="223" t="s">
        <v>267</v>
      </c>
      <c r="AM52" s="224">
        <v>0</v>
      </c>
      <c r="AN52" s="224">
        <v>0</v>
      </c>
      <c r="AO52" s="224">
        <v>0</v>
      </c>
      <c r="AP52" s="224">
        <v>0</v>
      </c>
      <c r="AQ52" s="224">
        <v>0</v>
      </c>
      <c r="AR52" s="224">
        <v>0</v>
      </c>
      <c r="AS52" s="224">
        <v>0</v>
      </c>
      <c r="AT52" s="220" t="s">
        <v>266</v>
      </c>
      <c r="AU52" s="223" t="s">
        <v>267</v>
      </c>
      <c r="AV52" s="224">
        <v>0</v>
      </c>
      <c r="AW52" s="224">
        <v>0</v>
      </c>
    </row>
    <row r="53" spans="1:55" ht="24" customHeight="1">
      <c r="A53" s="45" t="s">
        <v>268</v>
      </c>
      <c r="B53" s="33" t="s">
        <v>269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45" t="s">
        <v>268</v>
      </c>
      <c r="K53" s="33" t="s">
        <v>269</v>
      </c>
      <c r="L53" s="226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45" t="s">
        <v>268</v>
      </c>
      <c r="T53" s="33" t="s">
        <v>269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6">
        <v>0</v>
      </c>
      <c r="AA53" s="226">
        <v>0</v>
      </c>
      <c r="AB53" s="45" t="s">
        <v>268</v>
      </c>
      <c r="AC53" s="33" t="s">
        <v>269</v>
      </c>
      <c r="AD53" s="226">
        <v>0</v>
      </c>
      <c r="AE53" s="226">
        <v>0</v>
      </c>
      <c r="AF53" s="226">
        <v>0</v>
      </c>
      <c r="AG53" s="226">
        <v>0</v>
      </c>
      <c r="AH53" s="226">
        <v>0</v>
      </c>
      <c r="AI53" s="226">
        <v>0</v>
      </c>
      <c r="AJ53" s="226">
        <v>0</v>
      </c>
      <c r="AK53" s="45" t="s">
        <v>268</v>
      </c>
      <c r="AL53" s="33" t="s">
        <v>269</v>
      </c>
      <c r="AM53" s="226">
        <v>0</v>
      </c>
      <c r="AN53" s="226">
        <v>0</v>
      </c>
      <c r="AO53" s="226">
        <v>0</v>
      </c>
      <c r="AP53" s="226">
        <v>0</v>
      </c>
      <c r="AQ53" s="226">
        <v>0</v>
      </c>
      <c r="AR53" s="226">
        <v>0</v>
      </c>
      <c r="AS53" s="226">
        <v>0</v>
      </c>
      <c r="AT53" s="45" t="s">
        <v>268</v>
      </c>
      <c r="AU53" s="33" t="s">
        <v>269</v>
      </c>
      <c r="AV53" s="226">
        <v>0</v>
      </c>
      <c r="AW53" s="226">
        <v>0</v>
      </c>
    </row>
    <row r="54" spans="1:55" ht="24" customHeight="1">
      <c r="A54" s="45" t="s">
        <v>270</v>
      </c>
      <c r="B54" s="33" t="s">
        <v>271</v>
      </c>
      <c r="C54" s="226">
        <v>0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45" t="s">
        <v>270</v>
      </c>
      <c r="K54" s="33" t="s">
        <v>271</v>
      </c>
      <c r="L54" s="226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45" t="s">
        <v>270</v>
      </c>
      <c r="T54" s="33" t="s">
        <v>271</v>
      </c>
      <c r="U54" s="226">
        <v>0</v>
      </c>
      <c r="V54" s="226">
        <v>0</v>
      </c>
      <c r="W54" s="226">
        <v>0</v>
      </c>
      <c r="X54" s="226">
        <v>0</v>
      </c>
      <c r="Y54" s="226">
        <v>0</v>
      </c>
      <c r="Z54" s="226">
        <v>0</v>
      </c>
      <c r="AA54" s="226">
        <v>0</v>
      </c>
      <c r="AB54" s="45" t="s">
        <v>270</v>
      </c>
      <c r="AC54" s="33" t="s">
        <v>271</v>
      </c>
      <c r="AD54" s="226">
        <v>0</v>
      </c>
      <c r="AE54" s="226">
        <v>0</v>
      </c>
      <c r="AF54" s="226">
        <v>0</v>
      </c>
      <c r="AG54" s="226">
        <v>0</v>
      </c>
      <c r="AH54" s="226">
        <v>0</v>
      </c>
      <c r="AI54" s="226">
        <v>0</v>
      </c>
      <c r="AJ54" s="226">
        <v>0</v>
      </c>
      <c r="AK54" s="45" t="s">
        <v>270</v>
      </c>
      <c r="AL54" s="33" t="s">
        <v>271</v>
      </c>
      <c r="AM54" s="226">
        <v>0</v>
      </c>
      <c r="AN54" s="226">
        <v>0</v>
      </c>
      <c r="AO54" s="226">
        <v>0</v>
      </c>
      <c r="AP54" s="226">
        <v>0</v>
      </c>
      <c r="AQ54" s="226">
        <v>0</v>
      </c>
      <c r="AR54" s="226">
        <v>0</v>
      </c>
      <c r="AS54" s="226">
        <v>0</v>
      </c>
      <c r="AT54" s="45" t="s">
        <v>270</v>
      </c>
      <c r="AU54" s="33" t="s">
        <v>271</v>
      </c>
      <c r="AV54" s="226">
        <v>0</v>
      </c>
      <c r="AW54" s="226">
        <v>0</v>
      </c>
    </row>
    <row r="55" spans="1:55" ht="24" customHeight="1">
      <c r="A55" s="227" t="s">
        <v>272</v>
      </c>
      <c r="B55" s="33" t="s">
        <v>274</v>
      </c>
      <c r="C55" s="226">
        <v>0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  <c r="J55" s="227" t="s">
        <v>272</v>
      </c>
      <c r="K55" s="33" t="s">
        <v>274</v>
      </c>
      <c r="L55" s="226">
        <v>0</v>
      </c>
      <c r="M55" s="226">
        <v>0</v>
      </c>
      <c r="N55" s="226">
        <v>0</v>
      </c>
      <c r="O55" s="226">
        <v>0</v>
      </c>
      <c r="P55" s="226">
        <v>0</v>
      </c>
      <c r="Q55" s="226">
        <v>0</v>
      </c>
      <c r="R55" s="226">
        <v>0</v>
      </c>
      <c r="S55" s="227" t="s">
        <v>272</v>
      </c>
      <c r="T55" s="33" t="s">
        <v>274</v>
      </c>
      <c r="U55" s="226">
        <v>0</v>
      </c>
      <c r="V55" s="226">
        <v>0</v>
      </c>
      <c r="W55" s="226">
        <v>0</v>
      </c>
      <c r="X55" s="226">
        <v>0</v>
      </c>
      <c r="Y55" s="226">
        <v>0</v>
      </c>
      <c r="Z55" s="226">
        <v>0</v>
      </c>
      <c r="AA55" s="226">
        <v>0</v>
      </c>
      <c r="AB55" s="227" t="s">
        <v>272</v>
      </c>
      <c r="AC55" s="33" t="s">
        <v>274</v>
      </c>
      <c r="AD55" s="226">
        <v>0</v>
      </c>
      <c r="AE55" s="226">
        <v>0</v>
      </c>
      <c r="AF55" s="226">
        <v>0</v>
      </c>
      <c r="AG55" s="226">
        <v>0</v>
      </c>
      <c r="AH55" s="226">
        <v>0</v>
      </c>
      <c r="AI55" s="226">
        <v>0</v>
      </c>
      <c r="AJ55" s="226">
        <v>0</v>
      </c>
      <c r="AK55" s="227" t="s">
        <v>272</v>
      </c>
      <c r="AL55" s="33" t="s">
        <v>274</v>
      </c>
      <c r="AM55" s="226">
        <v>0</v>
      </c>
      <c r="AN55" s="226">
        <v>0</v>
      </c>
      <c r="AO55" s="226">
        <v>0</v>
      </c>
      <c r="AP55" s="226">
        <v>0</v>
      </c>
      <c r="AQ55" s="226">
        <v>0</v>
      </c>
      <c r="AR55" s="226">
        <v>0</v>
      </c>
      <c r="AS55" s="226">
        <v>0</v>
      </c>
      <c r="AT55" s="227" t="s">
        <v>272</v>
      </c>
      <c r="AU55" s="33" t="s">
        <v>274</v>
      </c>
      <c r="AV55" s="226">
        <v>0</v>
      </c>
      <c r="AW55" s="226">
        <v>0</v>
      </c>
    </row>
    <row r="56" spans="1:55" ht="24" customHeight="1">
      <c r="A56" s="227" t="s">
        <v>273</v>
      </c>
      <c r="B56" s="33" t="s">
        <v>275</v>
      </c>
      <c r="C56" s="226">
        <v>0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7" t="s">
        <v>273</v>
      </c>
      <c r="K56" s="33" t="s">
        <v>275</v>
      </c>
      <c r="L56" s="226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7" t="s">
        <v>273</v>
      </c>
      <c r="T56" s="33" t="s">
        <v>275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26">
        <v>0</v>
      </c>
      <c r="AA56" s="226">
        <v>0</v>
      </c>
      <c r="AB56" s="227" t="s">
        <v>273</v>
      </c>
      <c r="AC56" s="33" t="s">
        <v>275</v>
      </c>
      <c r="AD56" s="226">
        <v>0</v>
      </c>
      <c r="AE56" s="226">
        <v>0</v>
      </c>
      <c r="AF56" s="226">
        <v>0</v>
      </c>
      <c r="AG56" s="226">
        <v>0</v>
      </c>
      <c r="AH56" s="226">
        <v>0</v>
      </c>
      <c r="AI56" s="226">
        <v>0</v>
      </c>
      <c r="AJ56" s="226">
        <v>0</v>
      </c>
      <c r="AK56" s="227" t="s">
        <v>273</v>
      </c>
      <c r="AL56" s="33" t="s">
        <v>275</v>
      </c>
      <c r="AM56" s="226">
        <v>0</v>
      </c>
      <c r="AN56" s="226">
        <v>0</v>
      </c>
      <c r="AO56" s="226">
        <v>0</v>
      </c>
      <c r="AP56" s="226">
        <v>0</v>
      </c>
      <c r="AQ56" s="226">
        <v>0</v>
      </c>
      <c r="AR56" s="226">
        <v>0</v>
      </c>
      <c r="AS56" s="226">
        <v>0</v>
      </c>
      <c r="AT56" s="227" t="s">
        <v>273</v>
      </c>
      <c r="AU56" s="33" t="s">
        <v>275</v>
      </c>
      <c r="AV56" s="226">
        <v>0</v>
      </c>
      <c r="AW56" s="226">
        <v>0</v>
      </c>
    </row>
    <row r="57" spans="1:55" ht="48">
      <c r="A57" s="227" t="s">
        <v>276</v>
      </c>
      <c r="B57" s="222" t="s">
        <v>277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7" t="s">
        <v>276</v>
      </c>
      <c r="K57" s="222" t="s">
        <v>277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7" t="s">
        <v>276</v>
      </c>
      <c r="T57" s="222" t="s">
        <v>277</v>
      </c>
      <c r="U57" s="225">
        <v>0</v>
      </c>
      <c r="V57" s="225">
        <v>0</v>
      </c>
      <c r="W57" s="225">
        <v>0</v>
      </c>
      <c r="X57" s="225">
        <v>0</v>
      </c>
      <c r="Y57" s="225">
        <v>0</v>
      </c>
      <c r="Z57" s="225">
        <v>0</v>
      </c>
      <c r="AA57" s="225">
        <v>0</v>
      </c>
      <c r="AB57" s="227" t="s">
        <v>276</v>
      </c>
      <c r="AC57" s="222" t="s">
        <v>277</v>
      </c>
      <c r="AD57" s="225">
        <v>0</v>
      </c>
      <c r="AE57" s="225">
        <v>0</v>
      </c>
      <c r="AF57" s="225">
        <v>0</v>
      </c>
      <c r="AG57" s="225">
        <v>0</v>
      </c>
      <c r="AH57" s="225">
        <v>0</v>
      </c>
      <c r="AI57" s="225">
        <v>0</v>
      </c>
      <c r="AJ57" s="225">
        <v>0</v>
      </c>
      <c r="AK57" s="227" t="s">
        <v>276</v>
      </c>
      <c r="AL57" s="222" t="s">
        <v>277</v>
      </c>
      <c r="AM57" s="225">
        <v>0</v>
      </c>
      <c r="AN57" s="225">
        <v>0</v>
      </c>
      <c r="AO57" s="225">
        <v>0</v>
      </c>
      <c r="AP57" s="225">
        <v>0</v>
      </c>
      <c r="AQ57" s="225">
        <v>0</v>
      </c>
      <c r="AR57" s="225">
        <v>0</v>
      </c>
      <c r="AS57" s="225">
        <v>0</v>
      </c>
      <c r="AT57" s="227" t="s">
        <v>276</v>
      </c>
      <c r="AU57" s="222" t="s">
        <v>277</v>
      </c>
      <c r="AV57" s="225">
        <v>0</v>
      </c>
      <c r="AW57" s="225">
        <v>0</v>
      </c>
    </row>
    <row r="58" spans="1:55" ht="24" customHeight="1">
      <c r="A58" s="43">
        <v>18</v>
      </c>
      <c r="B58" s="67" t="s">
        <v>221</v>
      </c>
      <c r="C58" s="44">
        <f t="shared" ref="C58" si="52">SUM(C45-C47)/C4</f>
        <v>0.5788963271491081</v>
      </c>
      <c r="D58" s="44">
        <f t="shared" ref="D58:I58" si="53">SUM(D45)/D4</f>
        <v>0.80080296809222817</v>
      </c>
      <c r="E58" s="44">
        <f t="shared" si="53"/>
        <v>0.47433222854071178</v>
      </c>
      <c r="F58" s="44">
        <f t="shared" si="53"/>
        <v>0.51880809630704217</v>
      </c>
      <c r="G58" s="44">
        <f t="shared" si="53"/>
        <v>0.56094389024389402</v>
      </c>
      <c r="H58" s="44">
        <f t="shared" si="53"/>
        <v>0.42942714545475058</v>
      </c>
      <c r="I58" s="44">
        <f t="shared" si="53"/>
        <v>0.32141848685277602</v>
      </c>
      <c r="J58" s="43">
        <v>18</v>
      </c>
      <c r="K58" s="67" t="s">
        <v>221</v>
      </c>
      <c r="L58" s="44">
        <f t="shared" ref="L58:Q58" si="54">SUM(L45)/L4</f>
        <v>0.24573091415837148</v>
      </c>
      <c r="M58" s="44">
        <f t="shared" si="54"/>
        <v>0.20699967613167067</v>
      </c>
      <c r="N58" s="44">
        <f t="shared" si="54"/>
        <v>0.17458397832817338</v>
      </c>
      <c r="O58" s="44">
        <f t="shared" si="54"/>
        <v>0.15066582851032162</v>
      </c>
      <c r="P58" s="44">
        <f t="shared" si="54"/>
        <v>0.12799278854585378</v>
      </c>
      <c r="Q58" s="44">
        <f t="shared" si="54"/>
        <v>0.1065127445471727</v>
      </c>
      <c r="R58" s="44">
        <f>SUM(R45)/R4</f>
        <v>8.617540240259601E-2</v>
      </c>
      <c r="S58" s="43">
        <v>18</v>
      </c>
      <c r="T58" s="67" t="s">
        <v>221</v>
      </c>
      <c r="U58" s="44">
        <f t="shared" ref="U58:Z58" si="55">SUM(U45)/U4</f>
        <v>6.7198652778515403E-2</v>
      </c>
      <c r="V58" s="44">
        <f t="shared" si="55"/>
        <v>4.9275870927151078E-2</v>
      </c>
      <c r="W58" s="44">
        <f t="shared" si="55"/>
        <v>3.2118375034491213E-2</v>
      </c>
      <c r="X58" s="44">
        <f t="shared" si="55"/>
        <v>1.5701175398483966E-2</v>
      </c>
      <c r="Y58" s="44">
        <f t="shared" si="55"/>
        <v>0</v>
      </c>
      <c r="Z58" s="44">
        <f t="shared" si="55"/>
        <v>0</v>
      </c>
      <c r="AA58" s="44">
        <f>SUM(AA45)/AA4</f>
        <v>0</v>
      </c>
      <c r="AB58" s="43">
        <v>18</v>
      </c>
      <c r="AC58" s="67" t="s">
        <v>221</v>
      </c>
      <c r="AD58" s="44">
        <f t="shared" ref="AD58:AI58" si="56">SUM(AD45)/AD4</f>
        <v>0</v>
      </c>
      <c r="AE58" s="44">
        <f t="shared" si="56"/>
        <v>0</v>
      </c>
      <c r="AF58" s="44">
        <f t="shared" si="56"/>
        <v>0</v>
      </c>
      <c r="AG58" s="44">
        <f t="shared" si="56"/>
        <v>0</v>
      </c>
      <c r="AH58" s="44">
        <f t="shared" si="56"/>
        <v>0</v>
      </c>
      <c r="AI58" s="44">
        <f t="shared" si="56"/>
        <v>0</v>
      </c>
      <c r="AJ58" s="44">
        <f>SUM(AJ45)/AJ4</f>
        <v>0</v>
      </c>
      <c r="AK58" s="43">
        <v>18</v>
      </c>
      <c r="AL58" s="67" t="s">
        <v>221</v>
      </c>
      <c r="AM58" s="44">
        <f t="shared" ref="AM58:AR58" si="57">SUM(AM45)/AM4</f>
        <v>0</v>
      </c>
      <c r="AN58" s="44">
        <f t="shared" si="57"/>
        <v>0</v>
      </c>
      <c r="AO58" s="44">
        <f t="shared" si="57"/>
        <v>0</v>
      </c>
      <c r="AP58" s="44">
        <f t="shared" si="57"/>
        <v>0</v>
      </c>
      <c r="AQ58" s="44">
        <f t="shared" si="57"/>
        <v>0</v>
      </c>
      <c r="AR58" s="44">
        <f t="shared" si="57"/>
        <v>0</v>
      </c>
      <c r="AS58" s="44">
        <f>SUM(AS45)/AS4</f>
        <v>0</v>
      </c>
      <c r="AT58" s="43">
        <v>18</v>
      </c>
      <c r="AU58" s="67" t="s">
        <v>221</v>
      </c>
      <c r="AV58" s="44">
        <f>SUM(AV45)/AV4</f>
        <v>0</v>
      </c>
      <c r="AW58" s="44">
        <f>SUM(AW45)/AW4</f>
        <v>0</v>
      </c>
    </row>
    <row r="59" spans="1:55" ht="24" customHeight="1">
      <c r="A59" s="45" t="s">
        <v>78</v>
      </c>
      <c r="B59" s="47" t="s">
        <v>222</v>
      </c>
      <c r="C59" s="46">
        <f>(C45-C47)/C4</f>
        <v>0.5788963271491081</v>
      </c>
      <c r="D59" s="46">
        <f>(D45-D47)/D4</f>
        <v>0.78783571811160591</v>
      </c>
      <c r="E59" s="46">
        <f>(E45-E47)/E4</f>
        <v>0.46803439103177069</v>
      </c>
      <c r="F59" s="46">
        <f>(F45-F47)/F4</f>
        <v>0.51191974065194168</v>
      </c>
      <c r="G59" s="46">
        <f t="shared" ref="G59" si="58">(G45-G47)/G4</f>
        <v>0.55991833054711015</v>
      </c>
      <c r="H59" s="46">
        <f t="shared" ref="H59" si="59">(H45-H47)/H4</f>
        <v>0.42842783565948395</v>
      </c>
      <c r="I59" s="46">
        <f>(I45-I47)/I4</f>
        <v>0.32044770321597982</v>
      </c>
      <c r="J59" s="45" t="s">
        <v>78</v>
      </c>
      <c r="K59" s="47" t="s">
        <v>222</v>
      </c>
      <c r="L59" s="46">
        <f t="shared" ref="L59" si="60">(L45-L47)/L4</f>
        <v>0.24481385419812521</v>
      </c>
      <c r="M59" s="46">
        <f t="shared" ref="M59:N59" si="61">(M45-M47)/M4</f>
        <v>0.20699967613167067</v>
      </c>
      <c r="N59" s="46">
        <f t="shared" si="61"/>
        <v>0.17458397832817338</v>
      </c>
      <c r="O59" s="46">
        <f t="shared" ref="O59:P59" si="62">(O45-O47)/O4</f>
        <v>0.15066582851032162</v>
      </c>
      <c r="P59" s="46">
        <f t="shared" si="62"/>
        <v>0.12799278854585378</v>
      </c>
      <c r="Q59" s="46">
        <f t="shared" ref="Q59" si="63">(Q45-Q47)/Q4</f>
        <v>0.1065127445471727</v>
      </c>
      <c r="R59" s="46">
        <f>(R45-R47)/R4</f>
        <v>8.617540240259601E-2</v>
      </c>
      <c r="S59" s="45" t="s">
        <v>78</v>
      </c>
      <c r="T59" s="47" t="s">
        <v>222</v>
      </c>
      <c r="U59" s="46">
        <f t="shared" ref="U59" si="64">(U45-U47)/U4</f>
        <v>6.7198652778515403E-2</v>
      </c>
      <c r="V59" s="46">
        <f t="shared" ref="V59:W59" si="65">(V45-V47)/V4</f>
        <v>4.9275870927151078E-2</v>
      </c>
      <c r="W59" s="46">
        <f t="shared" si="65"/>
        <v>3.2118375034491213E-2</v>
      </c>
      <c r="X59" s="46">
        <f t="shared" ref="X59:Y59" si="66">(X45-X47)/X4</f>
        <v>1.5701175398483966E-2</v>
      </c>
      <c r="Y59" s="46">
        <f t="shared" si="66"/>
        <v>0</v>
      </c>
      <c r="Z59" s="46">
        <f t="shared" ref="Z59" si="67">(Z45-Z47)/Z4</f>
        <v>0</v>
      </c>
      <c r="AA59" s="46">
        <f>(AA45-AA47)/AA4</f>
        <v>0</v>
      </c>
      <c r="AB59" s="45" t="s">
        <v>78</v>
      </c>
      <c r="AC59" s="47" t="s">
        <v>222</v>
      </c>
      <c r="AD59" s="46">
        <f t="shared" ref="AD59" si="68">(AD45-AD47)/AD4</f>
        <v>0</v>
      </c>
      <c r="AE59" s="46">
        <f t="shared" ref="AE59:AF59" si="69">(AE45-AE47)/AE4</f>
        <v>0</v>
      </c>
      <c r="AF59" s="46">
        <f t="shared" si="69"/>
        <v>0</v>
      </c>
      <c r="AG59" s="46">
        <f t="shared" ref="AG59:AH59" si="70">(AG45-AG47)/AG4</f>
        <v>0</v>
      </c>
      <c r="AH59" s="46">
        <f t="shared" si="70"/>
        <v>0</v>
      </c>
      <c r="AI59" s="46">
        <f t="shared" ref="AI59" si="71">(AI45-AI47)/AI4</f>
        <v>0</v>
      </c>
      <c r="AJ59" s="46">
        <f>(AJ45-AJ47)/AJ4</f>
        <v>0</v>
      </c>
      <c r="AK59" s="45" t="s">
        <v>78</v>
      </c>
      <c r="AL59" s="47" t="s">
        <v>222</v>
      </c>
      <c r="AM59" s="46">
        <f t="shared" ref="AM59" si="72">(AM45-AM47)/AM4</f>
        <v>0</v>
      </c>
      <c r="AN59" s="46">
        <f t="shared" ref="AN59:AO59" si="73">(AN45-AN47)/AN4</f>
        <v>0</v>
      </c>
      <c r="AO59" s="46">
        <f t="shared" si="73"/>
        <v>0</v>
      </c>
      <c r="AP59" s="46">
        <f t="shared" ref="AP59:AQ59" si="74">(AP45-AP47)/AP4</f>
        <v>0</v>
      </c>
      <c r="AQ59" s="46">
        <f t="shared" si="74"/>
        <v>0</v>
      </c>
      <c r="AR59" s="46">
        <f t="shared" ref="AR59" si="75">(AR45-AR47)/AR4</f>
        <v>0</v>
      </c>
      <c r="AS59" s="46">
        <f>(AS45-AS47)/AS4</f>
        <v>0</v>
      </c>
      <c r="AT59" s="45" t="s">
        <v>78</v>
      </c>
      <c r="AU59" s="47" t="s">
        <v>222</v>
      </c>
      <c r="AV59" s="46">
        <f t="shared" ref="AV59" si="76">(AV45-AV47)/AV4</f>
        <v>0</v>
      </c>
      <c r="AW59" s="46">
        <f t="shared" ref="AW59" si="77">(AW45-AW47)/AW4</f>
        <v>0</v>
      </c>
    </row>
    <row r="60" spans="1:55" ht="24" customHeight="1">
      <c r="A60" s="45" t="s">
        <v>98</v>
      </c>
      <c r="B60" s="47" t="s">
        <v>223</v>
      </c>
      <c r="C60" s="46">
        <f>C45/C4</f>
        <v>0.5788963271491081</v>
      </c>
      <c r="D60" s="46">
        <f>(D45-D46-D47)/D4</f>
        <v>0.4838484990772719</v>
      </c>
      <c r="E60" s="46">
        <f>(E45-E46)/E4</f>
        <v>0.24949212745173399</v>
      </c>
      <c r="F60" s="46">
        <f>(F45-F46-F47)/F4</f>
        <v>0.26599745706955263</v>
      </c>
      <c r="G60" s="46">
        <f t="shared" ref="G60" si="78">(G45-G46-G47)/G4</f>
        <v>0.25266300299919375</v>
      </c>
      <c r="H60" s="46">
        <f t="shared" ref="H60" si="79">(H45-H46-H47)/H4</f>
        <v>0.15042198378993163</v>
      </c>
      <c r="I60" s="46">
        <f>(I45-I46-I47)/I4</f>
        <v>7.1152378160875107E-2</v>
      </c>
      <c r="J60" s="45" t="s">
        <v>98</v>
      </c>
      <c r="K60" s="47" t="s">
        <v>223</v>
      </c>
      <c r="L60" s="46">
        <f t="shared" ref="L60" si="80">(L45-L46-L47)/L4</f>
        <v>1.8438609684990101E-2</v>
      </c>
      <c r="M60" s="46">
        <f t="shared" ref="M60:N60" si="81">(M45-M46-M47)/M4</f>
        <v>7.1978298905555011E-3</v>
      </c>
      <c r="N60" s="46">
        <f t="shared" si="81"/>
        <v>0</v>
      </c>
      <c r="O60" s="46">
        <f t="shared" ref="O60:P60" si="82">(O45-O46-O47)/O4</f>
        <v>0</v>
      </c>
      <c r="P60" s="46">
        <f t="shared" si="82"/>
        <v>0</v>
      </c>
      <c r="Q60" s="46">
        <f t="shared" ref="Q60" si="83">(Q45-Q46-Q47)/Q4</f>
        <v>0</v>
      </c>
      <c r="R60" s="46">
        <f>(R45-R46-R47)/R4</f>
        <v>0</v>
      </c>
      <c r="S60" s="45" t="s">
        <v>98</v>
      </c>
      <c r="T60" s="47" t="s">
        <v>223</v>
      </c>
      <c r="U60" s="46">
        <f t="shared" ref="U60" si="84">(U45-U46-U47)/U4</f>
        <v>0</v>
      </c>
      <c r="V60" s="46">
        <f t="shared" ref="V60:W60" si="85">(V45-V46-V47)/V4</f>
        <v>0</v>
      </c>
      <c r="W60" s="46">
        <f t="shared" si="85"/>
        <v>0</v>
      </c>
      <c r="X60" s="46">
        <f t="shared" ref="X60:Y60" si="86">(X45-X46-X47)/X4</f>
        <v>0</v>
      </c>
      <c r="Y60" s="46">
        <f t="shared" si="86"/>
        <v>0</v>
      </c>
      <c r="Z60" s="46">
        <f t="shared" ref="Z60" si="87">(Z45-Z46-Z47)/Z4</f>
        <v>0</v>
      </c>
      <c r="AA60" s="46">
        <f>(AA45-AA46-AA47)/AA4</f>
        <v>0</v>
      </c>
      <c r="AB60" s="45" t="s">
        <v>98</v>
      </c>
      <c r="AC60" s="47" t="s">
        <v>223</v>
      </c>
      <c r="AD60" s="46">
        <f t="shared" ref="AD60" si="88">(AD45-AD46-AD47)/AD4</f>
        <v>0</v>
      </c>
      <c r="AE60" s="46">
        <f t="shared" ref="AE60:AF60" si="89">(AE45-AE46-AE47)/AE4</f>
        <v>0</v>
      </c>
      <c r="AF60" s="46">
        <f t="shared" si="89"/>
        <v>0</v>
      </c>
      <c r="AG60" s="46">
        <f t="shared" ref="AG60:AH60" si="90">(AG45-AG46-AG47)/AG4</f>
        <v>0</v>
      </c>
      <c r="AH60" s="46">
        <f t="shared" si="90"/>
        <v>0</v>
      </c>
      <c r="AI60" s="46">
        <f t="shared" ref="AI60" si="91">(AI45-AI46-AI47)/AI4</f>
        <v>0</v>
      </c>
      <c r="AJ60" s="46">
        <f>(AJ45-AJ46-AJ47)/AJ4</f>
        <v>0</v>
      </c>
      <c r="AK60" s="45" t="s">
        <v>98</v>
      </c>
      <c r="AL60" s="47" t="s">
        <v>223</v>
      </c>
      <c r="AM60" s="46">
        <f t="shared" ref="AM60" si="92">(AM45-AM46-AM47)/AM4</f>
        <v>0</v>
      </c>
      <c r="AN60" s="46">
        <f t="shared" ref="AN60:AO60" si="93">(AN45-AN46-AN47)/AN4</f>
        <v>0</v>
      </c>
      <c r="AO60" s="46">
        <f t="shared" si="93"/>
        <v>0</v>
      </c>
      <c r="AP60" s="46">
        <f t="shared" ref="AP60:AQ60" si="94">(AP45-AP46-AP47)/AP4</f>
        <v>0</v>
      </c>
      <c r="AQ60" s="46">
        <f t="shared" si="94"/>
        <v>0</v>
      </c>
      <c r="AR60" s="46">
        <f t="shared" ref="AR60" si="95">(AR45-AR46-AR47)/AR4</f>
        <v>0</v>
      </c>
      <c r="AS60" s="46">
        <f>(AS45-AS46-AS47)/AS4</f>
        <v>0</v>
      </c>
      <c r="AT60" s="45" t="s">
        <v>98</v>
      </c>
      <c r="AU60" s="47" t="s">
        <v>223</v>
      </c>
      <c r="AV60" s="46">
        <f t="shared" ref="AV60" si="96">(AV45-AV46-AV47)/AV4</f>
        <v>0</v>
      </c>
      <c r="AW60" s="46">
        <f t="shared" ref="AW60" si="97">(AW45-AW46-AW47)/AW4</f>
        <v>0</v>
      </c>
    </row>
    <row r="61" spans="1:55" ht="24" customHeight="1">
      <c r="A61" s="45">
        <v>19</v>
      </c>
      <c r="B61" s="47" t="s">
        <v>224</v>
      </c>
      <c r="C61" s="46">
        <f t="shared" ref="C61:E61" si="98">SUM(C30+C15+C32-C16-C31)/C4</f>
        <v>0.10390196462287565</v>
      </c>
      <c r="D61" s="46">
        <f>SUM(D30+D15+D33)/D4</f>
        <v>0.12470141823151167</v>
      </c>
      <c r="E61" s="46">
        <f t="shared" si="98"/>
        <v>9.5578996465876045E-2</v>
      </c>
      <c r="F61" s="46">
        <f>SUM(F30+F15+F33)/F4</f>
        <v>0.10402677707369419</v>
      </c>
      <c r="G61" s="46">
        <f t="shared" ref="G61" si="99">SUM(G30+G15+G33)/G4</f>
        <v>0.14329058196239627</v>
      </c>
      <c r="H61" s="46">
        <f t="shared" ref="H61" si="100">SUM(H30+H15+H33)/H4</f>
        <v>0.12487821937434428</v>
      </c>
      <c r="I61" s="46">
        <f>SUM(I30+I15+I33)/I4</f>
        <v>9.7343675340621119E-2</v>
      </c>
      <c r="J61" s="45">
        <v>19</v>
      </c>
      <c r="K61" s="47" t="s">
        <v>224</v>
      </c>
      <c r="L61" s="46">
        <f t="shared" ref="L61" si="101">SUM(L30+L15+L33)/L4</f>
        <v>6.9827360402985275E-2</v>
      </c>
      <c r="M61" s="46">
        <f t="shared" ref="M61:N61" si="102">SUM(M30+M15+M33)/M4</f>
        <v>2.5040866817294186E-2</v>
      </c>
      <c r="N61" s="46">
        <f t="shared" si="102"/>
        <v>1.8351597850678733E-2</v>
      </c>
      <c r="O61" s="46">
        <f t="shared" ref="O61:P61" si="103">SUM(O30+O15+O33)/O4</f>
        <v>9.7858366028656281E-3</v>
      </c>
      <c r="P61" s="46">
        <f t="shared" si="103"/>
        <v>8.4666189644407967E-3</v>
      </c>
      <c r="Q61" s="46">
        <f t="shared" ref="Q61" si="104">SUM(Q30+Q15+Q33)/Q4</f>
        <v>7.172872929117502E-3</v>
      </c>
      <c r="R61" s="46">
        <f>SUM(R30+R15+R33)/R4</f>
        <v>5.9631791499498285E-3</v>
      </c>
      <c r="S61" s="45">
        <v>19</v>
      </c>
      <c r="T61" s="47" t="s">
        <v>224</v>
      </c>
      <c r="U61" s="46">
        <f t="shared" ref="U61" si="105">SUM(U30+U15+U33)/U4</f>
        <v>4.8388057331162897E-3</v>
      </c>
      <c r="V61" s="46">
        <f t="shared" ref="V61:W61" si="106">SUM(V30+V15+V33)/V4</f>
        <v>3.7852527360018513E-3</v>
      </c>
      <c r="W61" s="46">
        <f t="shared" si="106"/>
        <v>2.7525194795048817E-3</v>
      </c>
      <c r="X61" s="46">
        <f t="shared" ref="X61:Y61" si="107">SUM(X30+X15+X33)/X4</f>
        <v>1.7829101816866646E-3</v>
      </c>
      <c r="Y61" s="46">
        <f t="shared" si="107"/>
        <v>8.488295273942466E-4</v>
      </c>
      <c r="Z61" s="46">
        <f t="shared" ref="Z61" si="108">SUM(Z30+Z15+Z33)/Z4</f>
        <v>2.8242519320332822E-4</v>
      </c>
      <c r="AA61" s="46">
        <f>SUM(AA30+AA15+AA33)/AA4</f>
        <v>2.6370205762626069E-4</v>
      </c>
      <c r="AB61" s="45">
        <v>19</v>
      </c>
      <c r="AC61" s="47" t="s">
        <v>224</v>
      </c>
      <c r="AD61" s="46">
        <f t="shared" ref="AD61" si="109">SUM(AD30+AD15+AD33)/AD4</f>
        <v>2.4702896606454069E-4</v>
      </c>
      <c r="AE61" s="46">
        <f t="shared" ref="AE61:AF61" si="110">SUM(AE30+AE15+AE33)/AE4</f>
        <v>2.3094699762352838E-4</v>
      </c>
      <c r="AF61" s="46">
        <f t="shared" si="110"/>
        <v>2.1411694708144591E-4</v>
      </c>
      <c r="AG61" s="46">
        <f t="shared" ref="AG61:AH61" si="111">SUM(AG30+AG15+AG33)/AG4</f>
        <v>1.9938713315211288E-4</v>
      </c>
      <c r="AH61" s="46">
        <f t="shared" si="111"/>
        <v>1.8842848701360938E-4</v>
      </c>
      <c r="AI61" s="46">
        <f t="shared" ref="AI61" si="112">SUM(AI30+AI15+AI33)/AI4</f>
        <v>1.7641742768631003E-4</v>
      </c>
      <c r="AJ61" s="46">
        <f>SUM(AJ30+AJ15+AJ33)/AJ4</f>
        <v>1.4847364890287771E-4</v>
      </c>
      <c r="AK61" s="45">
        <v>19</v>
      </c>
      <c r="AL61" s="47" t="s">
        <v>224</v>
      </c>
      <c r="AM61" s="46">
        <f t="shared" ref="AM61" si="113">SUM(AM30+AM15+AM33)/AM4</f>
        <v>1.3947955433588169E-4</v>
      </c>
      <c r="AN61" s="46">
        <f t="shared" ref="AN61:AO61" si="114">SUM(AN30+AN15+AN33)/AN4</f>
        <v>1.3208692062804595E-4</v>
      </c>
      <c r="AO61" s="46">
        <f t="shared" si="114"/>
        <v>1.2836746544009719E-4</v>
      </c>
      <c r="AP61" s="46">
        <f t="shared" ref="AP61:AQ61" si="115">SUM(AP30+AP15+AP33)/AP4</f>
        <v>1.2586629726706508E-4</v>
      </c>
      <c r="AQ61" s="46">
        <f t="shared" si="115"/>
        <v>1.2120974643604227E-4</v>
      </c>
      <c r="AR61" s="46">
        <f t="shared" ref="AR61" si="116">SUM(AR30+AR15+AR33)/AR4</f>
        <v>1.1884746396906837E-4</v>
      </c>
      <c r="AS61" s="46">
        <f>SUM(AS30+AS15+AS33)/AS4</f>
        <v>1.0664700358786072E-4</v>
      </c>
      <c r="AT61" s="45">
        <v>19</v>
      </c>
      <c r="AU61" s="47" t="s">
        <v>224</v>
      </c>
      <c r="AV61" s="46">
        <f t="shared" ref="AV61" si="117">SUM(AV30+AV15+AV33)/AV4</f>
        <v>1.0387210593226373E-4</v>
      </c>
      <c r="AW61" s="46">
        <f t="shared" ref="AW61" si="118">SUM(AW30+AW15+AW33)/AW4</f>
        <v>1.0184701393008459E-4</v>
      </c>
    </row>
    <row r="62" spans="1:55" ht="14.25" customHeight="1">
      <c r="A62" s="242"/>
      <c r="B62" s="231"/>
      <c r="C62" s="232"/>
      <c r="D62" s="232"/>
      <c r="E62" s="232"/>
      <c r="F62" s="232"/>
      <c r="G62" s="232"/>
      <c r="H62" s="232"/>
      <c r="I62" s="232"/>
      <c r="J62" s="242"/>
      <c r="K62" s="231"/>
      <c r="L62" s="232"/>
      <c r="M62" s="232"/>
      <c r="N62" s="232"/>
      <c r="O62" s="232"/>
      <c r="P62" s="232"/>
      <c r="Q62" s="232"/>
      <c r="R62" s="232"/>
      <c r="S62" s="242"/>
      <c r="T62" s="231"/>
      <c r="U62" s="232"/>
      <c r="V62" s="232"/>
      <c r="W62" s="232"/>
      <c r="X62" s="232"/>
      <c r="Y62" s="232"/>
      <c r="Z62" s="232"/>
      <c r="AA62" s="232"/>
      <c r="AB62" s="242"/>
      <c r="AC62" s="231"/>
      <c r="AD62" s="232"/>
      <c r="AE62" s="232"/>
      <c r="AF62" s="232"/>
      <c r="AG62" s="232"/>
      <c r="AH62" s="232"/>
      <c r="AI62" s="232"/>
      <c r="AJ62" s="232"/>
      <c r="AK62" s="242"/>
      <c r="AL62" s="231"/>
      <c r="AM62" s="232"/>
      <c r="AN62" s="232"/>
      <c r="AO62" s="232"/>
      <c r="AP62" s="232"/>
      <c r="AQ62" s="232"/>
      <c r="AR62" s="232"/>
      <c r="AS62" s="232"/>
      <c r="AT62" s="242"/>
      <c r="AU62" s="231"/>
      <c r="AV62" s="232"/>
      <c r="AW62" s="232"/>
    </row>
    <row r="63" spans="1:55" ht="12" customHeight="1">
      <c r="A63" s="245" t="s">
        <v>139</v>
      </c>
      <c r="B63" s="246"/>
      <c r="C63" s="246"/>
      <c r="D63" s="246"/>
      <c r="E63" s="246"/>
      <c r="F63" s="246"/>
      <c r="G63" s="246"/>
      <c r="H63" s="246"/>
      <c r="I63" s="247"/>
      <c r="J63" s="245" t="s">
        <v>134</v>
      </c>
      <c r="K63" s="247"/>
      <c r="L63" s="247"/>
      <c r="M63" s="247"/>
      <c r="N63" s="247"/>
      <c r="O63" s="247"/>
      <c r="P63" s="247"/>
      <c r="Q63" s="247"/>
      <c r="R63" s="247"/>
      <c r="S63" s="245" t="s">
        <v>142</v>
      </c>
      <c r="T63" s="247"/>
      <c r="U63" s="247"/>
      <c r="V63" s="247"/>
      <c r="W63" s="247"/>
      <c r="X63" s="247"/>
      <c r="Y63" s="247"/>
      <c r="Z63" s="247"/>
      <c r="AA63" s="247"/>
      <c r="AB63" s="245" t="s">
        <v>137</v>
      </c>
      <c r="AC63" s="247"/>
      <c r="AD63" s="247"/>
      <c r="AE63" s="247"/>
      <c r="AF63" s="247"/>
      <c r="AG63" s="247"/>
      <c r="AH63" s="247"/>
      <c r="AI63" s="247"/>
      <c r="AJ63" s="247"/>
      <c r="AK63" s="245" t="s">
        <v>286</v>
      </c>
      <c r="AL63" s="248"/>
      <c r="AM63" s="248"/>
      <c r="AN63" s="248"/>
      <c r="AO63" s="248"/>
      <c r="AP63" s="248"/>
      <c r="AQ63" s="248"/>
      <c r="AR63" s="248"/>
      <c r="AS63" s="248"/>
      <c r="AT63" s="243" t="s">
        <v>289</v>
      </c>
      <c r="AU63" s="244"/>
      <c r="AV63" s="244"/>
      <c r="AW63" s="244"/>
      <c r="AX63" s="244"/>
      <c r="AY63" s="244"/>
      <c r="AZ63" s="244"/>
      <c r="BA63" s="244"/>
      <c r="BB63" s="244"/>
      <c r="BC63" s="244"/>
    </row>
    <row r="64" spans="1:55" ht="12" customHeight="1">
      <c r="A64" s="61" t="s">
        <v>0</v>
      </c>
      <c r="B64" s="62" t="s">
        <v>1</v>
      </c>
      <c r="C64" s="63" t="s">
        <v>96</v>
      </c>
      <c r="D64" s="63" t="s">
        <v>202</v>
      </c>
      <c r="E64" s="63" t="s">
        <v>237</v>
      </c>
      <c r="F64" s="63" t="s">
        <v>238</v>
      </c>
      <c r="G64" s="63" t="s">
        <v>99</v>
      </c>
      <c r="H64" s="63" t="s">
        <v>100</v>
      </c>
      <c r="I64" s="63" t="s">
        <v>101</v>
      </c>
      <c r="J64" s="61" t="s">
        <v>0</v>
      </c>
      <c r="K64" s="62" t="s">
        <v>1</v>
      </c>
      <c r="L64" s="63" t="s">
        <v>102</v>
      </c>
      <c r="M64" s="63" t="s">
        <v>103</v>
      </c>
      <c r="N64" s="63" t="s">
        <v>104</v>
      </c>
      <c r="O64" s="63" t="s">
        <v>105</v>
      </c>
      <c r="P64" s="63" t="s">
        <v>106</v>
      </c>
      <c r="Q64" s="63" t="s">
        <v>107</v>
      </c>
      <c r="R64" s="63" t="s">
        <v>108</v>
      </c>
      <c r="S64" s="61" t="s">
        <v>0</v>
      </c>
      <c r="T64" s="62" t="s">
        <v>1</v>
      </c>
      <c r="U64" s="63" t="s">
        <v>109</v>
      </c>
      <c r="V64" s="63" t="s">
        <v>110</v>
      </c>
      <c r="W64" s="63" t="s">
        <v>111</v>
      </c>
      <c r="X64" s="63" t="s">
        <v>112</v>
      </c>
      <c r="Y64" s="63" t="s">
        <v>113</v>
      </c>
      <c r="Z64" s="63" t="s">
        <v>114</v>
      </c>
      <c r="AA64" s="63" t="s">
        <v>115</v>
      </c>
      <c r="AB64" s="61" t="s">
        <v>0</v>
      </c>
      <c r="AC64" s="62" t="s">
        <v>1</v>
      </c>
      <c r="AD64" s="63" t="s">
        <v>116</v>
      </c>
      <c r="AE64" s="63" t="s">
        <v>117</v>
      </c>
      <c r="AF64" s="63" t="s">
        <v>118</v>
      </c>
      <c r="AG64" s="63" t="s">
        <v>119</v>
      </c>
      <c r="AH64" s="63" t="s">
        <v>120</v>
      </c>
      <c r="AI64" s="63" t="s">
        <v>121</v>
      </c>
      <c r="AJ64" s="63" t="s">
        <v>122</v>
      </c>
      <c r="AK64" s="61" t="s">
        <v>0</v>
      </c>
      <c r="AL64" s="62" t="s">
        <v>1</v>
      </c>
      <c r="AM64" s="63" t="s">
        <v>123</v>
      </c>
      <c r="AN64" s="63" t="s">
        <v>124</v>
      </c>
      <c r="AO64" s="63" t="s">
        <v>125</v>
      </c>
      <c r="AP64" s="63" t="s">
        <v>126</v>
      </c>
      <c r="AQ64" s="63" t="s">
        <v>127</v>
      </c>
      <c r="AR64" s="63" t="s">
        <v>128</v>
      </c>
      <c r="AS64" s="63" t="s">
        <v>129</v>
      </c>
      <c r="AT64" s="61" t="s">
        <v>0</v>
      </c>
      <c r="AU64" s="62" t="s">
        <v>1</v>
      </c>
      <c r="AV64" s="63" t="s">
        <v>130</v>
      </c>
      <c r="AW64" s="63" t="s">
        <v>131</v>
      </c>
    </row>
    <row r="65" spans="1:49" ht="36">
      <c r="A65" s="41" t="s">
        <v>79</v>
      </c>
      <c r="B65" s="48" t="s">
        <v>225</v>
      </c>
      <c r="C65" s="46">
        <f>SUM(C30+C33+C15-C16-C31)/C4</f>
        <v>0.10344321240463752</v>
      </c>
      <c r="D65" s="46">
        <f t="shared" ref="D65:I65" si="119">SUM(D30+D33+D15-D16-D31)/D4</f>
        <v>0.12470141823151167</v>
      </c>
      <c r="E65" s="46">
        <f t="shared" si="119"/>
        <v>9.5578996465876045E-2</v>
      </c>
      <c r="F65" s="46">
        <f t="shared" si="119"/>
        <v>0.10402677707369419</v>
      </c>
      <c r="G65" s="46">
        <f t="shared" si="119"/>
        <v>0.14329058196239627</v>
      </c>
      <c r="H65" s="46">
        <f t="shared" si="119"/>
        <v>0.12487821937434428</v>
      </c>
      <c r="I65" s="46">
        <f t="shared" si="119"/>
        <v>9.7343675340621119E-2</v>
      </c>
      <c r="J65" s="41" t="s">
        <v>79</v>
      </c>
      <c r="K65" s="48" t="s">
        <v>225</v>
      </c>
      <c r="L65" s="46">
        <f t="shared" ref="L65:R65" si="120">SUM(L30+L33+L15-L16-L31)/L4</f>
        <v>6.9827360402985275E-2</v>
      </c>
      <c r="M65" s="46">
        <f t="shared" si="120"/>
        <v>2.5040866817294186E-2</v>
      </c>
      <c r="N65" s="46">
        <f t="shared" si="120"/>
        <v>1.8351597850678733E-2</v>
      </c>
      <c r="O65" s="46">
        <f t="shared" si="120"/>
        <v>9.7858366028656281E-3</v>
      </c>
      <c r="P65" s="46">
        <f t="shared" si="120"/>
        <v>8.4666189644407967E-3</v>
      </c>
      <c r="Q65" s="46">
        <f t="shared" si="120"/>
        <v>7.172872929117502E-3</v>
      </c>
      <c r="R65" s="46">
        <f t="shared" si="120"/>
        <v>5.9631791499498285E-3</v>
      </c>
      <c r="S65" s="41" t="s">
        <v>79</v>
      </c>
      <c r="T65" s="48" t="s">
        <v>225</v>
      </c>
      <c r="U65" s="46">
        <f t="shared" ref="U65:AA65" si="121">SUM(U30+U33+U15-U16-U31)/U4</f>
        <v>4.8388057331162897E-3</v>
      </c>
      <c r="V65" s="46">
        <f t="shared" si="121"/>
        <v>3.7852527360018513E-3</v>
      </c>
      <c r="W65" s="46">
        <f t="shared" si="121"/>
        <v>2.7525194795048817E-3</v>
      </c>
      <c r="X65" s="46">
        <f t="shared" si="121"/>
        <v>1.7829101816866646E-3</v>
      </c>
      <c r="Y65" s="46">
        <f t="shared" si="121"/>
        <v>8.488295273942466E-4</v>
      </c>
      <c r="Z65" s="46">
        <f t="shared" si="121"/>
        <v>2.8242519320332822E-4</v>
      </c>
      <c r="AA65" s="46">
        <f t="shared" si="121"/>
        <v>2.6370205762626069E-4</v>
      </c>
      <c r="AB65" s="41" t="s">
        <v>79</v>
      </c>
      <c r="AC65" s="48" t="s">
        <v>225</v>
      </c>
      <c r="AD65" s="46">
        <f t="shared" ref="AD65:AJ65" si="122">SUM(AD30+AD33+AD15-AD16-AD31)/AD4</f>
        <v>2.4702896606454069E-4</v>
      </c>
      <c r="AE65" s="46">
        <f t="shared" si="122"/>
        <v>2.3094699762352838E-4</v>
      </c>
      <c r="AF65" s="46">
        <f t="shared" si="122"/>
        <v>2.1411694708144591E-4</v>
      </c>
      <c r="AG65" s="46">
        <f t="shared" si="122"/>
        <v>1.9938713315211288E-4</v>
      </c>
      <c r="AH65" s="46">
        <f t="shared" si="122"/>
        <v>1.8842848701360938E-4</v>
      </c>
      <c r="AI65" s="46">
        <f t="shared" si="122"/>
        <v>1.7641742768631003E-4</v>
      </c>
      <c r="AJ65" s="46">
        <f t="shared" si="122"/>
        <v>1.4847364890287771E-4</v>
      </c>
      <c r="AK65" s="41" t="s">
        <v>79</v>
      </c>
      <c r="AL65" s="48" t="s">
        <v>225</v>
      </c>
      <c r="AM65" s="46">
        <f t="shared" ref="AM65:AS65" si="123">SUM(AM30+AM33+AM15-AM16-AM31)/AM4</f>
        <v>1.3947955433588169E-4</v>
      </c>
      <c r="AN65" s="46">
        <f t="shared" si="123"/>
        <v>1.3208692062804595E-4</v>
      </c>
      <c r="AO65" s="46">
        <f t="shared" si="123"/>
        <v>1.2836746544009719E-4</v>
      </c>
      <c r="AP65" s="46">
        <f t="shared" si="123"/>
        <v>1.2586629726706508E-4</v>
      </c>
      <c r="AQ65" s="46">
        <f t="shared" si="123"/>
        <v>1.2120974643604227E-4</v>
      </c>
      <c r="AR65" s="46">
        <f t="shared" si="123"/>
        <v>1.1884746396906837E-4</v>
      </c>
      <c r="AS65" s="46">
        <f t="shared" si="123"/>
        <v>1.0664700358786072E-4</v>
      </c>
      <c r="AT65" s="41" t="s">
        <v>79</v>
      </c>
      <c r="AU65" s="48" t="s">
        <v>225</v>
      </c>
      <c r="AV65" s="46">
        <f t="shared" ref="AV65:AW65" si="124">SUM(AV30+AV33+AV15-AV16-AV31)/AV4</f>
        <v>1.0387210593226373E-4</v>
      </c>
      <c r="AW65" s="46">
        <f t="shared" si="124"/>
        <v>1.0184701393008459E-4</v>
      </c>
    </row>
    <row r="66" spans="1:49" ht="24">
      <c r="A66" s="43">
        <v>20</v>
      </c>
      <c r="B66" s="67" t="s">
        <v>226</v>
      </c>
      <c r="C66" s="44">
        <f t="shared" ref="C66:I66" si="125">(C5-C76+C9)/C4</f>
        <v>0.15459717429394448</v>
      </c>
      <c r="D66" s="44">
        <f t="shared" si="125"/>
        <v>0.15819432483318588</v>
      </c>
      <c r="E66" s="44">
        <f t="shared" si="125"/>
        <v>0.11710520413378343</v>
      </c>
      <c r="F66" s="44">
        <f t="shared" si="125"/>
        <v>0.1280698749207124</v>
      </c>
      <c r="G66" s="44">
        <f t="shared" si="125"/>
        <v>0.13323277150750981</v>
      </c>
      <c r="H66" s="44">
        <f t="shared" si="125"/>
        <v>0.15961473653767461</v>
      </c>
      <c r="I66" s="44">
        <f t="shared" si="125"/>
        <v>0.16551611935218921</v>
      </c>
      <c r="J66" s="43">
        <v>20</v>
      </c>
      <c r="K66" s="67" t="s">
        <v>226</v>
      </c>
      <c r="L66" s="44">
        <f t="shared" ref="L66:R66" si="126">(L5-L76+L9)/L4</f>
        <v>0.15405894765099612</v>
      </c>
      <c r="M66" s="44">
        <f t="shared" si="126"/>
        <v>0.16270602529239178</v>
      </c>
      <c r="N66" s="44">
        <f t="shared" si="126"/>
        <v>0.16989982733984282</v>
      </c>
      <c r="O66" s="44">
        <f t="shared" si="126"/>
        <v>0.17654647071149357</v>
      </c>
      <c r="P66" s="44">
        <f t="shared" si="126"/>
        <v>0.18289713856795112</v>
      </c>
      <c r="Q66" s="44">
        <f t="shared" si="126"/>
        <v>0.18918445114164581</v>
      </c>
      <c r="R66" s="44">
        <f t="shared" si="126"/>
        <v>0.19534542070226424</v>
      </c>
      <c r="S66" s="43">
        <v>20</v>
      </c>
      <c r="T66" s="67" t="s">
        <v>226</v>
      </c>
      <c r="U66" s="44">
        <f t="shared" ref="U66:AA66" si="127">(U5-U76+U9)/U4</f>
        <v>0.1989954587735685</v>
      </c>
      <c r="V66" s="44">
        <f t="shared" si="127"/>
        <v>0.20013274142632456</v>
      </c>
      <c r="W66" s="44">
        <f t="shared" si="127"/>
        <v>0.2012477123051237</v>
      </c>
      <c r="X66" s="44">
        <f t="shared" si="127"/>
        <v>0.20229807920982457</v>
      </c>
      <c r="Y66" s="44">
        <f t="shared" si="127"/>
        <v>0.20330999933109584</v>
      </c>
      <c r="Z66" s="44">
        <f t="shared" si="127"/>
        <v>0.2039503849253651</v>
      </c>
      <c r="AA66" s="44">
        <f t="shared" si="127"/>
        <v>0.2040432463477547</v>
      </c>
      <c r="AB66" s="43">
        <v>20</v>
      </c>
      <c r="AC66" s="67" t="s">
        <v>226</v>
      </c>
      <c r="AD66" s="44">
        <f t="shared" ref="AD66:AJ66" si="128">(AD5-AD76+AD9)/AD4</f>
        <v>0.20413413877104719</v>
      </c>
      <c r="AE66" s="44">
        <f t="shared" si="128"/>
        <v>0.20422310760308174</v>
      </c>
      <c r="AF66" s="44">
        <f t="shared" si="128"/>
        <v>0.20431019264868319</v>
      </c>
      <c r="AG66" s="44">
        <f t="shared" si="128"/>
        <v>0.20439162072206651</v>
      </c>
      <c r="AH66" s="44">
        <f t="shared" si="128"/>
        <v>0.20447140279688145</v>
      </c>
      <c r="AI66" s="44">
        <f t="shared" si="128"/>
        <v>0.2045495718932947</v>
      </c>
      <c r="AJ66" s="44">
        <f t="shared" si="128"/>
        <v>0.20462615168849285</v>
      </c>
      <c r="AK66" s="43">
        <v>20</v>
      </c>
      <c r="AL66" s="67" t="s">
        <v>226</v>
      </c>
      <c r="AM66" s="44">
        <f t="shared" ref="AM66:AS66" si="129">(AM5-AM76+AM9)/AM4</f>
        <v>0.20470118341368271</v>
      </c>
      <c r="AN66" s="44">
        <f t="shared" si="129"/>
        <v>0.15707969471369557</v>
      </c>
      <c r="AO66" s="44">
        <f t="shared" si="129"/>
        <v>0.1571422935703877</v>
      </c>
      <c r="AP66" s="44">
        <f t="shared" si="129"/>
        <v>0.15720366758207427</v>
      </c>
      <c r="AQ66" s="44">
        <f t="shared" si="129"/>
        <v>0.1572638609901395</v>
      </c>
      <c r="AR66" s="44">
        <f t="shared" si="129"/>
        <v>0.15732289345517173</v>
      </c>
      <c r="AS66" s="44">
        <f t="shared" si="129"/>
        <v>0.15738077459306704</v>
      </c>
      <c r="AT66" s="43">
        <v>20</v>
      </c>
      <c r="AU66" s="67" t="s">
        <v>226</v>
      </c>
      <c r="AV66" s="44">
        <f t="shared" ref="AV66:AW66" si="130">(AV5-AV76+AV9)/AV4</f>
        <v>0.15743753830089147</v>
      </c>
      <c r="AW66" s="44">
        <f t="shared" si="130"/>
        <v>0.15749320766987049</v>
      </c>
    </row>
    <row r="67" spans="1:49" ht="24">
      <c r="A67" s="45" t="s">
        <v>81</v>
      </c>
      <c r="B67" s="47" t="s">
        <v>227</v>
      </c>
      <c r="C67" s="237">
        <v>0.21310000000000001</v>
      </c>
      <c r="D67" s="46">
        <v>0.1908</v>
      </c>
      <c r="E67" s="46">
        <v>0.1573</v>
      </c>
      <c r="F67" s="46">
        <v>0.1573</v>
      </c>
      <c r="G67" s="46">
        <f>SUM(C66+D66+E66)/3</f>
        <v>0.14329890108697127</v>
      </c>
      <c r="H67" s="46">
        <f>SUM(D66+E66+G66)/3</f>
        <v>0.13617743349149303</v>
      </c>
      <c r="I67" s="46">
        <f>SUM(E66+G66+H66)/3</f>
        <v>0.13665090405965594</v>
      </c>
      <c r="J67" s="45" t="s">
        <v>81</v>
      </c>
      <c r="K67" s="47" t="s">
        <v>227</v>
      </c>
      <c r="L67" s="46">
        <f>SUM(G66,H66,I66)/3</f>
        <v>0.15278787579912456</v>
      </c>
      <c r="M67" s="46">
        <f>SUM(H66,I66,L66)/3</f>
        <v>0.15972993451361997</v>
      </c>
      <c r="N67" s="46">
        <f>SUM(I66,L66,M66)/3</f>
        <v>0.1607603640985257</v>
      </c>
      <c r="O67" s="46">
        <f t="shared" ref="O67:Q67" si="131">SUM(L66:N66)/3</f>
        <v>0.16222160009441025</v>
      </c>
      <c r="P67" s="46">
        <f t="shared" si="131"/>
        <v>0.16971744111457607</v>
      </c>
      <c r="Q67" s="46">
        <f t="shared" si="131"/>
        <v>0.17644781220642916</v>
      </c>
      <c r="R67" s="46">
        <f>SUM(O66:Q66)/3</f>
        <v>0.1828760201403635</v>
      </c>
      <c r="S67" s="45" t="s">
        <v>81</v>
      </c>
      <c r="T67" s="47" t="s">
        <v>227</v>
      </c>
      <c r="U67" s="46">
        <f>SUM(P66,Q66,R66)/3</f>
        <v>0.18914233680395373</v>
      </c>
      <c r="V67" s="46">
        <f>SUM(Q66,R66,U66)/3</f>
        <v>0.19450844353915953</v>
      </c>
      <c r="W67" s="46">
        <f>SUM(R66,U66,V66)/3</f>
        <v>0.19815787363405243</v>
      </c>
      <c r="X67" s="46">
        <f t="shared" ref="X67:Z67" si="132">SUM(U66:W66)/3</f>
        <v>0.20012530416833893</v>
      </c>
      <c r="Y67" s="46">
        <f t="shared" si="132"/>
        <v>0.20122617764709094</v>
      </c>
      <c r="Z67" s="46">
        <f t="shared" si="132"/>
        <v>0.20228526361534804</v>
      </c>
      <c r="AA67" s="46">
        <f>SUM(X66:Z66)/3</f>
        <v>0.20318615448876184</v>
      </c>
      <c r="AB67" s="45" t="s">
        <v>81</v>
      </c>
      <c r="AC67" s="47" t="s">
        <v>227</v>
      </c>
      <c r="AD67" s="46">
        <f>SUM(Y66,Z66,AA66)/3</f>
        <v>0.20376787686807188</v>
      </c>
      <c r="AE67" s="46">
        <f>SUM(Z66,AA66,AD66)/3</f>
        <v>0.20404259001472233</v>
      </c>
      <c r="AF67" s="46">
        <f>SUM(AA66,AD66,AE66)/3</f>
        <v>0.20413349757396118</v>
      </c>
      <c r="AG67" s="46">
        <f t="shared" ref="AG67:AI67" si="133">SUM(AD66:AF66)/3</f>
        <v>0.20422247967427073</v>
      </c>
      <c r="AH67" s="46">
        <f t="shared" si="133"/>
        <v>0.20430830699127714</v>
      </c>
      <c r="AI67" s="46">
        <f t="shared" si="133"/>
        <v>0.20439107205587706</v>
      </c>
      <c r="AJ67" s="46">
        <f>SUM(AG66:AI66)/3</f>
        <v>0.20447086513741422</v>
      </c>
      <c r="AK67" s="45" t="s">
        <v>81</v>
      </c>
      <c r="AL67" s="47" t="s">
        <v>227</v>
      </c>
      <c r="AM67" s="46">
        <f>SUM(AH66,AI66,AJ66)/3</f>
        <v>0.20454904212622302</v>
      </c>
      <c r="AN67" s="46">
        <f>SUM(AI66,AJ66,AM66)/3</f>
        <v>0.20462563566515676</v>
      </c>
      <c r="AO67" s="46">
        <f>SUM(AJ66,AM66,AN66)/3</f>
        <v>0.18880234327195702</v>
      </c>
      <c r="AP67" s="46">
        <f t="shared" ref="AP67:AR67" si="134">SUM(AM66:AO66)/3</f>
        <v>0.17297439056592198</v>
      </c>
      <c r="AQ67" s="46">
        <f t="shared" si="134"/>
        <v>0.15714188528871917</v>
      </c>
      <c r="AR67" s="46">
        <f t="shared" si="134"/>
        <v>0.15720327404753381</v>
      </c>
      <c r="AS67" s="46">
        <f>SUM(AP66:AR66)/3</f>
        <v>0.15726347400912852</v>
      </c>
      <c r="AT67" s="45" t="s">
        <v>81</v>
      </c>
      <c r="AU67" s="47" t="s">
        <v>227</v>
      </c>
      <c r="AV67" s="46">
        <f>SUM(AQ66,AR66,AS66)/3</f>
        <v>0.15732250967945943</v>
      </c>
      <c r="AW67" s="46">
        <f>SUM(AR66,AS66,AV66)/3</f>
        <v>0.15738040211637674</v>
      </c>
    </row>
    <row r="68" spans="1:49" ht="24">
      <c r="A68" s="45" t="s">
        <v>278</v>
      </c>
      <c r="B68" s="47" t="s">
        <v>279</v>
      </c>
      <c r="C68" s="237">
        <v>0.21310000000000001</v>
      </c>
      <c r="D68" s="46">
        <v>0.1908</v>
      </c>
      <c r="E68" s="46">
        <v>0.1573</v>
      </c>
      <c r="F68" s="46">
        <v>0.1573</v>
      </c>
      <c r="G68" s="46">
        <f>SUM(C66+D66+F66)/3</f>
        <v>0.14695379134928091</v>
      </c>
      <c r="H68" s="46">
        <f>SUM(D66+F66+G66)/3</f>
        <v>0.1398323237538027</v>
      </c>
      <c r="I68" s="46">
        <f>SUM(F66+G66+H66)/3</f>
        <v>0.1403057943219656</v>
      </c>
      <c r="J68" s="45" t="s">
        <v>278</v>
      </c>
      <c r="K68" s="47" t="s">
        <v>279</v>
      </c>
      <c r="L68" s="46">
        <f>SUM(G66+H66+I66)/3</f>
        <v>0.15278787579912456</v>
      </c>
      <c r="M68" s="46">
        <f>SUM(H66+I66+L66)/3</f>
        <v>0.15972993451361997</v>
      </c>
      <c r="N68" s="46">
        <f>SUM(I66+L66+M66)/3</f>
        <v>0.1607603640985257</v>
      </c>
      <c r="O68" s="46">
        <f>SUM(L66+M66+N66)/3</f>
        <v>0.16222160009441025</v>
      </c>
      <c r="P68" s="46">
        <f>SUM(M66+N66+O66)/3</f>
        <v>0.16971744111457607</v>
      </c>
      <c r="Q68" s="46">
        <f>SUM(N66+O66+P66)/3</f>
        <v>0.17644781220642916</v>
      </c>
      <c r="R68" s="46">
        <f>SUM(O66+P66+Q66)/3</f>
        <v>0.1828760201403635</v>
      </c>
      <c r="S68" s="45" t="s">
        <v>278</v>
      </c>
      <c r="T68" s="47" t="s">
        <v>279</v>
      </c>
      <c r="U68" s="46">
        <f>SUM(P66+Q66+R66)/3</f>
        <v>0.18914233680395373</v>
      </c>
      <c r="V68" s="46">
        <f>SUM(Q66+R66+U66)/3</f>
        <v>0.19450844353915953</v>
      </c>
      <c r="W68" s="46">
        <f>SUM(R66+U66+V66)/3</f>
        <v>0.19815787363405243</v>
      </c>
      <c r="X68" s="46">
        <f>SUM(U66+V66+W66)/3</f>
        <v>0.20012530416833893</v>
      </c>
      <c r="Y68" s="46">
        <f>SUM(V66+W66+X66)/3</f>
        <v>0.20122617764709094</v>
      </c>
      <c r="Z68" s="46">
        <f>SUM(W66+X66+Y66)/3</f>
        <v>0.20228526361534804</v>
      </c>
      <c r="AA68" s="46">
        <f>SUM(X66+Y66+Z66)/3</f>
        <v>0.20318615448876184</v>
      </c>
      <c r="AB68" s="45" t="s">
        <v>278</v>
      </c>
      <c r="AC68" s="47" t="s">
        <v>279</v>
      </c>
      <c r="AD68" s="46">
        <f>SUM(Y66+Z66+AA66)/3</f>
        <v>0.20376787686807188</v>
      </c>
      <c r="AE68" s="46">
        <f>SUM(AA66+Z66+AD66)/3</f>
        <v>0.20404259001472233</v>
      </c>
      <c r="AF68" s="46">
        <f>SUM(AA66+AD66+AE66)/3</f>
        <v>0.20413349757396118</v>
      </c>
      <c r="AG68" s="46">
        <f>SUM(AE66+AD66+AF66)/3</f>
        <v>0.20422247967427073</v>
      </c>
      <c r="AH68" s="46">
        <f>SUM(AF66+AE66+AG66)/3</f>
        <v>0.20430830699127714</v>
      </c>
      <c r="AI68" s="46">
        <f>SUM(AG66+AF66+AH66)/3</f>
        <v>0.20439107205587706</v>
      </c>
      <c r="AJ68" s="46">
        <f>SUM(AH66+AG66+AI66)/3</f>
        <v>0.20447086513741422</v>
      </c>
      <c r="AK68" s="45" t="s">
        <v>278</v>
      </c>
      <c r="AL68" s="47" t="s">
        <v>279</v>
      </c>
      <c r="AM68" s="46">
        <f>SUM(AI66+AJ66+AH66)/3</f>
        <v>0.20454904212622302</v>
      </c>
      <c r="AN68" s="46">
        <f>SUM(AJ66+AI66+AM66)/3</f>
        <v>0.20462563566515676</v>
      </c>
      <c r="AO68" s="46">
        <f>SUM(AK66+AJ66+AN66)/3</f>
        <v>6.7872352821340627</v>
      </c>
      <c r="AP68" s="46">
        <f>SUM(AN66+AM66+AO66)/3</f>
        <v>0.17297439056592198</v>
      </c>
      <c r="AQ68" s="46">
        <f>SUM(AO66+AN66+AP66)/3</f>
        <v>0.15714188528871917</v>
      </c>
      <c r="AR68" s="46">
        <f>SUM(AP66+AO66+AQ66)/3</f>
        <v>0.15720327404753381</v>
      </c>
      <c r="AS68" s="46">
        <f>SUM(AQ66+AP66+AR66)/3</f>
        <v>0.15726347400912852</v>
      </c>
      <c r="AT68" s="45" t="s">
        <v>278</v>
      </c>
      <c r="AU68" s="47" t="s">
        <v>279</v>
      </c>
      <c r="AV68" s="46">
        <f>SUM(AR66+AS66+AQ66)/3</f>
        <v>0.15732250967945943</v>
      </c>
      <c r="AW68" s="46">
        <f>SUM(AS66+AR66+AV66)/3</f>
        <v>0.15738040211637674</v>
      </c>
    </row>
    <row r="69" spans="1:49" ht="24" customHeight="1">
      <c r="A69" s="45">
        <v>21</v>
      </c>
      <c r="B69" s="47" t="s">
        <v>280</v>
      </c>
      <c r="C69" s="46">
        <f>SUM(C30+C33+C15+C48)/C4</f>
        <v>0.10344321240463752</v>
      </c>
      <c r="D69" s="46">
        <f t="shared" ref="D69:I69" si="135">SUM(D30+D33+D15+D48)/D4</f>
        <v>0.12470141823151167</v>
      </c>
      <c r="E69" s="46">
        <f t="shared" si="135"/>
        <v>9.5578996465876045E-2</v>
      </c>
      <c r="F69" s="46">
        <f t="shared" si="135"/>
        <v>0.10402677707369419</v>
      </c>
      <c r="G69" s="46">
        <f t="shared" si="135"/>
        <v>0.14329058196239627</v>
      </c>
      <c r="H69" s="46">
        <f t="shared" si="135"/>
        <v>0.12487821937434428</v>
      </c>
      <c r="I69" s="46">
        <f t="shared" si="135"/>
        <v>9.7343675340621119E-2</v>
      </c>
      <c r="J69" s="45">
        <v>21</v>
      </c>
      <c r="K69" s="47" t="s">
        <v>280</v>
      </c>
      <c r="L69" s="46">
        <f t="shared" ref="L69:R69" si="136">SUM(L30+L33+L15+L48)/L4</f>
        <v>6.9827360402985275E-2</v>
      </c>
      <c r="M69" s="46">
        <f t="shared" si="136"/>
        <v>2.5040866817294186E-2</v>
      </c>
      <c r="N69" s="46">
        <f t="shared" si="136"/>
        <v>1.8351597850678733E-2</v>
      </c>
      <c r="O69" s="46">
        <f t="shared" si="136"/>
        <v>9.7858366028656281E-3</v>
      </c>
      <c r="P69" s="46">
        <f t="shared" si="136"/>
        <v>8.4666189644407967E-3</v>
      </c>
      <c r="Q69" s="46">
        <f t="shared" si="136"/>
        <v>7.172872929117502E-3</v>
      </c>
      <c r="R69" s="46">
        <f t="shared" si="136"/>
        <v>5.9631791499498285E-3</v>
      </c>
      <c r="S69" s="45">
        <v>21</v>
      </c>
      <c r="T69" s="47" t="s">
        <v>280</v>
      </c>
      <c r="U69" s="46">
        <f t="shared" ref="U69:AA69" si="137">SUM(U30+U33+U15+U48)/U4</f>
        <v>4.8388057331162897E-3</v>
      </c>
      <c r="V69" s="46">
        <f t="shared" si="137"/>
        <v>3.7852527360018513E-3</v>
      </c>
      <c r="W69" s="46">
        <f t="shared" si="137"/>
        <v>2.7525194795048817E-3</v>
      </c>
      <c r="X69" s="46">
        <f t="shared" si="137"/>
        <v>1.7829101816866646E-3</v>
      </c>
      <c r="Y69" s="46">
        <f t="shared" si="137"/>
        <v>8.488295273942466E-4</v>
      </c>
      <c r="Z69" s="46">
        <f t="shared" si="137"/>
        <v>2.8242519320332822E-4</v>
      </c>
      <c r="AA69" s="46">
        <f t="shared" si="137"/>
        <v>2.6370205762626069E-4</v>
      </c>
      <c r="AB69" s="45">
        <v>21</v>
      </c>
      <c r="AC69" s="47" t="s">
        <v>280</v>
      </c>
      <c r="AD69" s="46">
        <f t="shared" ref="AD69:AJ69" si="138">SUM(AD30+AD33+AD15+AD48)/AD4</f>
        <v>2.4702896606454069E-4</v>
      </c>
      <c r="AE69" s="46">
        <f t="shared" si="138"/>
        <v>2.3094699762352838E-4</v>
      </c>
      <c r="AF69" s="46">
        <f t="shared" si="138"/>
        <v>2.1411694708144591E-4</v>
      </c>
      <c r="AG69" s="46">
        <f t="shared" si="138"/>
        <v>1.9938713315211288E-4</v>
      </c>
      <c r="AH69" s="46">
        <f t="shared" si="138"/>
        <v>1.8842848701360938E-4</v>
      </c>
      <c r="AI69" s="46">
        <f t="shared" si="138"/>
        <v>1.7641742768631003E-4</v>
      </c>
      <c r="AJ69" s="46">
        <f t="shared" si="138"/>
        <v>1.4847364890287771E-4</v>
      </c>
      <c r="AK69" s="45">
        <v>21</v>
      </c>
      <c r="AL69" s="47" t="s">
        <v>280</v>
      </c>
      <c r="AM69" s="46">
        <f t="shared" ref="AM69:AS69" si="139">SUM(AM30+AM33+AM15+AM48)/AM4</f>
        <v>1.3947955433588169E-4</v>
      </c>
      <c r="AN69" s="46">
        <f t="shared" si="139"/>
        <v>1.3208692062804595E-4</v>
      </c>
      <c r="AO69" s="46">
        <f t="shared" si="139"/>
        <v>1.2836746544009719E-4</v>
      </c>
      <c r="AP69" s="46">
        <f t="shared" si="139"/>
        <v>1.2586629726706508E-4</v>
      </c>
      <c r="AQ69" s="46">
        <f t="shared" si="139"/>
        <v>1.2120974643604227E-4</v>
      </c>
      <c r="AR69" s="46">
        <f t="shared" si="139"/>
        <v>1.1884746396906837E-4</v>
      </c>
      <c r="AS69" s="46">
        <f t="shared" si="139"/>
        <v>1.0664700358786072E-4</v>
      </c>
      <c r="AT69" s="45">
        <v>21</v>
      </c>
      <c r="AU69" s="47" t="s">
        <v>280</v>
      </c>
      <c r="AV69" s="46">
        <f t="shared" ref="AV69:AW69" si="140">SUM(AV30+AV33+AV15+AV48)/AV4</f>
        <v>1.0387210593226373E-4</v>
      </c>
      <c r="AW69" s="46">
        <f t="shared" si="140"/>
        <v>1.0184701393008459E-4</v>
      </c>
    </row>
    <row r="70" spans="1:49" ht="24" customHeight="1">
      <c r="A70" s="49" t="s">
        <v>82</v>
      </c>
      <c r="B70" s="68" t="s">
        <v>293</v>
      </c>
      <c r="C70" s="69" t="s">
        <v>97</v>
      </c>
      <c r="D70" s="69" t="str">
        <f>IF(D69&lt;=D67,"Spełnia  art. 243","Nie spełnia art. 243")</f>
        <v>Spełnia  art. 243</v>
      </c>
      <c r="E70" s="69" t="str">
        <f t="shared" ref="E70:I70" si="141">IF(E69&lt;=E67,"Spełnia  art. 243","Nie spełnia art. 243")</f>
        <v>Spełnia  art. 243</v>
      </c>
      <c r="F70" s="69" t="str">
        <f t="shared" si="141"/>
        <v>Spełnia  art. 243</v>
      </c>
      <c r="G70" s="69" t="str">
        <f t="shared" si="141"/>
        <v>Spełnia  art. 243</v>
      </c>
      <c r="H70" s="69" t="str">
        <f t="shared" si="141"/>
        <v>Spełnia  art. 243</v>
      </c>
      <c r="I70" s="69" t="str">
        <f t="shared" si="141"/>
        <v>Spełnia  art. 243</v>
      </c>
      <c r="J70" s="49" t="s">
        <v>82</v>
      </c>
      <c r="K70" s="68" t="s">
        <v>293</v>
      </c>
      <c r="L70" s="69" t="str">
        <f t="shared" ref="L70" si="142">IF(L69&lt;=L67,"Spełnia  art. 243","Nie spełnia art. 243")</f>
        <v>Spełnia  art. 243</v>
      </c>
      <c r="M70" s="69" t="str">
        <f t="shared" ref="M70" si="143">IF(M69&lt;=M67,"Spełnia  art. 243","Nie spełnia art. 243")</f>
        <v>Spełnia  art. 243</v>
      </c>
      <c r="N70" s="69" t="str">
        <f t="shared" ref="N70" si="144">IF(N69&lt;=N67,"Spełnia  art. 243","Nie spełnia art. 243")</f>
        <v>Spełnia  art. 243</v>
      </c>
      <c r="O70" s="69" t="str">
        <f t="shared" ref="O70" si="145">IF(O69&lt;=O67,"Spełnia  art. 243","Nie spełnia art. 243")</f>
        <v>Spełnia  art. 243</v>
      </c>
      <c r="P70" s="69" t="str">
        <f t="shared" ref="P70" si="146">IF(P69&lt;=P67,"Spełnia  art. 243","Nie spełnia art. 243")</f>
        <v>Spełnia  art. 243</v>
      </c>
      <c r="Q70" s="69" t="str">
        <f t="shared" ref="Q70" si="147">IF(Q69&lt;=Q67,"Spełnia  art. 243","Nie spełnia art. 243")</f>
        <v>Spełnia  art. 243</v>
      </c>
      <c r="R70" s="69" t="str">
        <f t="shared" ref="R70" si="148">IF(R69&lt;=R67,"Spełnia  art. 243","Nie spełnia art. 243")</f>
        <v>Spełnia  art. 243</v>
      </c>
      <c r="S70" s="49" t="s">
        <v>82</v>
      </c>
      <c r="T70" s="68" t="s">
        <v>293</v>
      </c>
      <c r="U70" s="69" t="str">
        <f t="shared" ref="U70" si="149">IF(U69&lt;=U67,"Spełnia  art. 243","Nie spełnia art. 243")</f>
        <v>Spełnia  art. 243</v>
      </c>
      <c r="V70" s="69" t="str">
        <f t="shared" ref="V70" si="150">IF(V69&lt;=V67,"Spełnia  art. 243","Nie spełnia art. 243")</f>
        <v>Spełnia  art. 243</v>
      </c>
      <c r="W70" s="69" t="str">
        <f t="shared" ref="W70" si="151">IF(W69&lt;=W67,"Spełnia  art. 243","Nie spełnia art. 243")</f>
        <v>Spełnia  art. 243</v>
      </c>
      <c r="X70" s="69" t="str">
        <f t="shared" ref="X70" si="152">IF(X69&lt;=X67,"Spełnia  art. 243","Nie spełnia art. 243")</f>
        <v>Spełnia  art. 243</v>
      </c>
      <c r="Y70" s="69" t="str">
        <f t="shared" ref="Y70" si="153">IF(Y69&lt;=Y67,"Spełnia  art. 243","Nie spełnia art. 243")</f>
        <v>Spełnia  art. 243</v>
      </c>
      <c r="Z70" s="69" t="str">
        <f t="shared" ref="Z70" si="154">IF(Z69&lt;=Z67,"Spełnia  art. 243","Nie spełnia art. 243")</f>
        <v>Spełnia  art. 243</v>
      </c>
      <c r="AA70" s="69" t="str">
        <f t="shared" ref="AA70" si="155">IF(AA69&lt;=AA67,"Spełnia  art. 243","Nie spełnia art. 243")</f>
        <v>Spełnia  art. 243</v>
      </c>
      <c r="AB70" s="49" t="s">
        <v>82</v>
      </c>
      <c r="AC70" s="68" t="s">
        <v>293</v>
      </c>
      <c r="AD70" s="69" t="str">
        <f t="shared" ref="AD70" si="156">IF(AD69&lt;=AD67,"Spełnia  art. 243","Nie spełnia art. 243")</f>
        <v>Spełnia  art. 243</v>
      </c>
      <c r="AE70" s="69" t="str">
        <f t="shared" ref="AE70" si="157">IF(AE69&lt;=AE67,"Spełnia  art. 243","Nie spełnia art. 243")</f>
        <v>Spełnia  art. 243</v>
      </c>
      <c r="AF70" s="69" t="str">
        <f t="shared" ref="AF70" si="158">IF(AF69&lt;=AF67,"Spełnia  art. 243","Nie spełnia art. 243")</f>
        <v>Spełnia  art. 243</v>
      </c>
      <c r="AG70" s="69" t="str">
        <f t="shared" ref="AG70" si="159">IF(AG69&lt;=AG67,"Spełnia  art. 243","Nie spełnia art. 243")</f>
        <v>Spełnia  art. 243</v>
      </c>
      <c r="AH70" s="69" t="str">
        <f t="shared" ref="AH70" si="160">IF(AH69&lt;=AH67,"Spełnia  art. 243","Nie spełnia art. 243")</f>
        <v>Spełnia  art. 243</v>
      </c>
      <c r="AI70" s="69" t="str">
        <f t="shared" ref="AI70" si="161">IF(AI69&lt;=AI67,"Spełnia  art. 243","Nie spełnia art. 243")</f>
        <v>Spełnia  art. 243</v>
      </c>
      <c r="AJ70" s="69" t="str">
        <f t="shared" ref="AJ70" si="162">IF(AJ69&lt;=AJ67,"Spełnia  art. 243","Nie spełnia art. 243")</f>
        <v>Spełnia  art. 243</v>
      </c>
      <c r="AK70" s="49" t="s">
        <v>82</v>
      </c>
      <c r="AL70" s="68" t="s">
        <v>293</v>
      </c>
      <c r="AM70" s="69" t="str">
        <f t="shared" ref="AM70" si="163">IF(AM69&lt;=AM67,"Spełnia  art. 243","Nie spełnia art. 243")</f>
        <v>Spełnia  art. 243</v>
      </c>
      <c r="AN70" s="69" t="str">
        <f t="shared" ref="AN70" si="164">IF(AN69&lt;=AN67,"Spełnia  art. 243","Nie spełnia art. 243")</f>
        <v>Spełnia  art. 243</v>
      </c>
      <c r="AO70" s="69" t="str">
        <f t="shared" ref="AO70" si="165">IF(AO69&lt;=AO67,"Spełnia  art. 243","Nie spełnia art. 243")</f>
        <v>Spełnia  art. 243</v>
      </c>
      <c r="AP70" s="69" t="str">
        <f t="shared" ref="AP70" si="166">IF(AP69&lt;=AP67,"Spełnia  art. 243","Nie spełnia art. 243")</f>
        <v>Spełnia  art. 243</v>
      </c>
      <c r="AQ70" s="69" t="str">
        <f t="shared" ref="AQ70" si="167">IF(AQ69&lt;=AQ67,"Spełnia  art. 243","Nie spełnia art. 243")</f>
        <v>Spełnia  art. 243</v>
      </c>
      <c r="AR70" s="69" t="str">
        <f t="shared" ref="AR70" si="168">IF(AR69&lt;=AR67,"Spełnia  art. 243","Nie spełnia art. 243")</f>
        <v>Spełnia  art. 243</v>
      </c>
      <c r="AS70" s="69" t="str">
        <f t="shared" ref="AS70" si="169">IF(AS69&lt;=AS67,"Spełnia  art. 243","Nie spełnia art. 243")</f>
        <v>Spełnia  art. 243</v>
      </c>
      <c r="AT70" s="49" t="s">
        <v>82</v>
      </c>
      <c r="AU70" s="68" t="s">
        <v>293</v>
      </c>
      <c r="AV70" s="69" t="str">
        <f t="shared" ref="AV70" si="170">IF(AV69&lt;=AV67,"Spełnia  art. 243","Nie spełnia art. 243")</f>
        <v>Spełnia  art. 243</v>
      </c>
      <c r="AW70" s="69" t="str">
        <f t="shared" ref="AW70" si="171">IF(AW69&lt;=AW67,"Spełnia  art. 243","Nie spełnia art. 243")</f>
        <v>Spełnia  art. 243</v>
      </c>
    </row>
    <row r="71" spans="1:49" ht="24" customHeight="1">
      <c r="A71" s="49" t="s">
        <v>281</v>
      </c>
      <c r="B71" s="68" t="s">
        <v>294</v>
      </c>
      <c r="C71" s="69" t="s">
        <v>97</v>
      </c>
      <c r="D71" s="69" t="str">
        <f>IF(D69&lt;=D68,"Spełnia  art. 243","Nie spełnia art. 243")</f>
        <v>Spełnia  art. 243</v>
      </c>
      <c r="E71" s="69" t="str">
        <f t="shared" ref="E71:I71" si="172">IF(E69&lt;=E68,"Spełnia  art. 243","Nie spełnia art. 243")</f>
        <v>Spełnia  art. 243</v>
      </c>
      <c r="F71" s="69" t="str">
        <f t="shared" si="172"/>
        <v>Spełnia  art. 243</v>
      </c>
      <c r="G71" s="69" t="str">
        <f t="shared" si="172"/>
        <v>Spełnia  art. 243</v>
      </c>
      <c r="H71" s="69" t="str">
        <f t="shared" si="172"/>
        <v>Spełnia  art. 243</v>
      </c>
      <c r="I71" s="69" t="str">
        <f t="shared" si="172"/>
        <v>Spełnia  art. 243</v>
      </c>
      <c r="J71" s="49" t="s">
        <v>281</v>
      </c>
      <c r="K71" s="68" t="s">
        <v>294</v>
      </c>
      <c r="L71" s="69" t="str">
        <f t="shared" ref="L71:R71" si="173">IF(L69&lt;=L68,"Spełnia  art. 243","Nie spełnia art. 243")</f>
        <v>Spełnia  art. 243</v>
      </c>
      <c r="M71" s="69" t="str">
        <f t="shared" si="173"/>
        <v>Spełnia  art. 243</v>
      </c>
      <c r="N71" s="69" t="str">
        <f t="shared" si="173"/>
        <v>Spełnia  art. 243</v>
      </c>
      <c r="O71" s="69" t="str">
        <f t="shared" si="173"/>
        <v>Spełnia  art. 243</v>
      </c>
      <c r="P71" s="69" t="str">
        <f t="shared" si="173"/>
        <v>Spełnia  art. 243</v>
      </c>
      <c r="Q71" s="69" t="str">
        <f t="shared" si="173"/>
        <v>Spełnia  art. 243</v>
      </c>
      <c r="R71" s="69" t="str">
        <f t="shared" si="173"/>
        <v>Spełnia  art. 243</v>
      </c>
      <c r="S71" s="49" t="s">
        <v>281</v>
      </c>
      <c r="T71" s="68" t="s">
        <v>294</v>
      </c>
      <c r="U71" s="69" t="str">
        <f t="shared" ref="U71:AA71" si="174">IF(U69&lt;=U68,"Spełnia  art. 243","Nie spełnia art. 243")</f>
        <v>Spełnia  art. 243</v>
      </c>
      <c r="V71" s="69" t="str">
        <f t="shared" si="174"/>
        <v>Spełnia  art. 243</v>
      </c>
      <c r="W71" s="69" t="str">
        <f t="shared" si="174"/>
        <v>Spełnia  art. 243</v>
      </c>
      <c r="X71" s="69" t="str">
        <f t="shared" si="174"/>
        <v>Spełnia  art. 243</v>
      </c>
      <c r="Y71" s="69" t="str">
        <f t="shared" si="174"/>
        <v>Spełnia  art. 243</v>
      </c>
      <c r="Z71" s="69" t="str">
        <f t="shared" si="174"/>
        <v>Spełnia  art. 243</v>
      </c>
      <c r="AA71" s="69" t="str">
        <f t="shared" si="174"/>
        <v>Spełnia  art. 243</v>
      </c>
      <c r="AB71" s="49" t="s">
        <v>281</v>
      </c>
      <c r="AC71" s="68" t="s">
        <v>294</v>
      </c>
      <c r="AD71" s="69" t="str">
        <f t="shared" ref="AD71:AJ71" si="175">IF(AD69&lt;=AD68,"Spełnia  art. 243","Nie spełnia art. 243")</f>
        <v>Spełnia  art. 243</v>
      </c>
      <c r="AE71" s="69" t="str">
        <f t="shared" si="175"/>
        <v>Spełnia  art. 243</v>
      </c>
      <c r="AF71" s="69" t="str">
        <f t="shared" si="175"/>
        <v>Spełnia  art. 243</v>
      </c>
      <c r="AG71" s="69" t="str">
        <f t="shared" si="175"/>
        <v>Spełnia  art. 243</v>
      </c>
      <c r="AH71" s="69" t="str">
        <f t="shared" si="175"/>
        <v>Spełnia  art. 243</v>
      </c>
      <c r="AI71" s="69" t="str">
        <f t="shared" si="175"/>
        <v>Spełnia  art. 243</v>
      </c>
      <c r="AJ71" s="69" t="str">
        <f t="shared" si="175"/>
        <v>Spełnia  art. 243</v>
      </c>
      <c r="AK71" s="49" t="s">
        <v>281</v>
      </c>
      <c r="AL71" s="68" t="s">
        <v>294</v>
      </c>
      <c r="AM71" s="69" t="str">
        <f t="shared" ref="AM71:AS71" si="176">IF(AM69&lt;=AM68,"Spełnia  art. 243","Nie spełnia art. 243")</f>
        <v>Spełnia  art. 243</v>
      </c>
      <c r="AN71" s="69" t="str">
        <f t="shared" si="176"/>
        <v>Spełnia  art. 243</v>
      </c>
      <c r="AO71" s="69" t="str">
        <f t="shared" si="176"/>
        <v>Spełnia  art. 243</v>
      </c>
      <c r="AP71" s="69" t="str">
        <f t="shared" si="176"/>
        <v>Spełnia  art. 243</v>
      </c>
      <c r="AQ71" s="69" t="str">
        <f t="shared" si="176"/>
        <v>Spełnia  art. 243</v>
      </c>
      <c r="AR71" s="69" t="str">
        <f t="shared" si="176"/>
        <v>Spełnia  art. 243</v>
      </c>
      <c r="AS71" s="69" t="str">
        <f t="shared" si="176"/>
        <v>Spełnia  art. 243</v>
      </c>
      <c r="AT71" s="49" t="s">
        <v>281</v>
      </c>
      <c r="AU71" s="68" t="s">
        <v>294</v>
      </c>
      <c r="AV71" s="69" t="str">
        <f t="shared" ref="AV71:AW71" si="177">IF(AV69&lt;=AV68,"Spełnia  art. 243","Nie spełnia art. 243")</f>
        <v>Spełnia  art. 243</v>
      </c>
      <c r="AW71" s="69" t="str">
        <f t="shared" si="177"/>
        <v>Spełnia  art. 243</v>
      </c>
    </row>
    <row r="72" spans="1:49" ht="38.25">
      <c r="A72" s="70">
        <v>22</v>
      </c>
      <c r="B72" s="71" t="s">
        <v>228</v>
      </c>
      <c r="C72" s="46">
        <f>SUM(C30+C33+C15+C48-C16-C31)/C4</f>
        <v>0.10344321240463752</v>
      </c>
      <c r="D72" s="46">
        <f t="shared" ref="D72:I72" si="178">SUM(D30+D33+D15+D48-D16-D31)/D4</f>
        <v>0.12470141823151167</v>
      </c>
      <c r="E72" s="46">
        <f t="shared" si="178"/>
        <v>9.5578996465876045E-2</v>
      </c>
      <c r="F72" s="46">
        <f t="shared" si="178"/>
        <v>0.10402677707369419</v>
      </c>
      <c r="G72" s="46">
        <f t="shared" si="178"/>
        <v>0.14329058196239627</v>
      </c>
      <c r="H72" s="46">
        <f t="shared" si="178"/>
        <v>0.12487821937434428</v>
      </c>
      <c r="I72" s="46">
        <f t="shared" si="178"/>
        <v>9.7343675340621119E-2</v>
      </c>
      <c r="J72" s="70">
        <v>22</v>
      </c>
      <c r="K72" s="71" t="s">
        <v>228</v>
      </c>
      <c r="L72" s="46">
        <f t="shared" ref="L72:R72" si="179">SUM(L30+L33+L15+L48-L16-L31)/L4</f>
        <v>6.9827360402985275E-2</v>
      </c>
      <c r="M72" s="46">
        <f t="shared" si="179"/>
        <v>2.5040866817294186E-2</v>
      </c>
      <c r="N72" s="46">
        <f t="shared" si="179"/>
        <v>1.8351597850678733E-2</v>
      </c>
      <c r="O72" s="46">
        <f t="shared" si="179"/>
        <v>9.7858366028656281E-3</v>
      </c>
      <c r="P72" s="46">
        <f t="shared" si="179"/>
        <v>8.4666189644407967E-3</v>
      </c>
      <c r="Q72" s="46">
        <f t="shared" si="179"/>
        <v>7.172872929117502E-3</v>
      </c>
      <c r="R72" s="46">
        <f t="shared" si="179"/>
        <v>5.9631791499498285E-3</v>
      </c>
      <c r="S72" s="70">
        <v>22</v>
      </c>
      <c r="T72" s="71" t="s">
        <v>228</v>
      </c>
      <c r="U72" s="46">
        <f t="shared" ref="U72:AA72" si="180">SUM(U30+U33+U15+U48-U16-U31)/U4</f>
        <v>4.8388057331162897E-3</v>
      </c>
      <c r="V72" s="46">
        <f t="shared" si="180"/>
        <v>3.7852527360018513E-3</v>
      </c>
      <c r="W72" s="46">
        <f t="shared" si="180"/>
        <v>2.7525194795048817E-3</v>
      </c>
      <c r="X72" s="46">
        <f t="shared" si="180"/>
        <v>1.7829101816866646E-3</v>
      </c>
      <c r="Y72" s="46">
        <f t="shared" si="180"/>
        <v>8.488295273942466E-4</v>
      </c>
      <c r="Z72" s="46">
        <f t="shared" si="180"/>
        <v>2.8242519320332822E-4</v>
      </c>
      <c r="AA72" s="46">
        <f t="shared" si="180"/>
        <v>2.6370205762626069E-4</v>
      </c>
      <c r="AB72" s="70">
        <v>22</v>
      </c>
      <c r="AC72" s="71" t="s">
        <v>228</v>
      </c>
      <c r="AD72" s="46">
        <f t="shared" ref="AD72:AJ72" si="181">SUM(AD30+AD33+AD15+AD48-AD16-AD31)/AD4</f>
        <v>2.4702896606454069E-4</v>
      </c>
      <c r="AE72" s="46">
        <f t="shared" si="181"/>
        <v>2.3094699762352838E-4</v>
      </c>
      <c r="AF72" s="46">
        <f t="shared" si="181"/>
        <v>2.1411694708144591E-4</v>
      </c>
      <c r="AG72" s="46">
        <f t="shared" si="181"/>
        <v>1.9938713315211288E-4</v>
      </c>
      <c r="AH72" s="46">
        <f t="shared" si="181"/>
        <v>1.8842848701360938E-4</v>
      </c>
      <c r="AI72" s="46">
        <f t="shared" si="181"/>
        <v>1.7641742768631003E-4</v>
      </c>
      <c r="AJ72" s="46">
        <f t="shared" si="181"/>
        <v>1.4847364890287771E-4</v>
      </c>
      <c r="AK72" s="70">
        <v>22</v>
      </c>
      <c r="AL72" s="71" t="s">
        <v>228</v>
      </c>
      <c r="AM72" s="46">
        <f t="shared" ref="AM72:AS72" si="182">SUM(AM30+AM33+AM15+AM48-AM16-AM31)/AM4</f>
        <v>1.3947955433588169E-4</v>
      </c>
      <c r="AN72" s="46">
        <f t="shared" si="182"/>
        <v>1.3208692062804595E-4</v>
      </c>
      <c r="AO72" s="46">
        <f t="shared" si="182"/>
        <v>1.2836746544009719E-4</v>
      </c>
      <c r="AP72" s="46">
        <f t="shared" si="182"/>
        <v>1.2586629726706508E-4</v>
      </c>
      <c r="AQ72" s="46">
        <f t="shared" si="182"/>
        <v>1.2120974643604227E-4</v>
      </c>
      <c r="AR72" s="46">
        <f t="shared" si="182"/>
        <v>1.1884746396906837E-4</v>
      </c>
      <c r="AS72" s="46">
        <f t="shared" si="182"/>
        <v>1.0664700358786072E-4</v>
      </c>
      <c r="AT72" s="70">
        <v>22</v>
      </c>
      <c r="AU72" s="71" t="s">
        <v>228</v>
      </c>
      <c r="AV72" s="46">
        <f t="shared" ref="AV72:AW72" si="183">SUM(AV30+AV33+AV15+AV48-AV16-AV31)/AV4</f>
        <v>1.0387210593226373E-4</v>
      </c>
      <c r="AW72" s="46">
        <f t="shared" si="183"/>
        <v>1.0184701393008459E-4</v>
      </c>
    </row>
    <row r="73" spans="1:49" ht="38.25">
      <c r="A73" s="228" t="s">
        <v>83</v>
      </c>
      <c r="B73" s="229" t="s">
        <v>295</v>
      </c>
      <c r="C73" s="230" t="s">
        <v>97</v>
      </c>
      <c r="D73" s="230" t="str">
        <f>IF(D72&lt;=D67,"Spełnia  art. 243","Nie spełnia art. 243")</f>
        <v>Spełnia  art. 243</v>
      </c>
      <c r="E73" s="230" t="str">
        <f t="shared" ref="E73:I73" si="184">IF(E72&lt;=E67,"Spełnia  art. 243","Nie spełnia art. 243")</f>
        <v>Spełnia  art. 243</v>
      </c>
      <c r="F73" s="230" t="str">
        <f t="shared" si="184"/>
        <v>Spełnia  art. 243</v>
      </c>
      <c r="G73" s="230" t="str">
        <f t="shared" si="184"/>
        <v>Spełnia  art. 243</v>
      </c>
      <c r="H73" s="230" t="str">
        <f t="shared" si="184"/>
        <v>Spełnia  art. 243</v>
      </c>
      <c r="I73" s="230" t="str">
        <f t="shared" si="184"/>
        <v>Spełnia  art. 243</v>
      </c>
      <c r="J73" s="228" t="s">
        <v>83</v>
      </c>
      <c r="K73" s="229" t="s">
        <v>295</v>
      </c>
      <c r="L73" s="230" t="str">
        <f t="shared" ref="L73" si="185">IF(L72&lt;=L67,"Spełnia  art. 243","Nie spełnia art. 243")</f>
        <v>Spełnia  art. 243</v>
      </c>
      <c r="M73" s="230" t="str">
        <f t="shared" ref="M73" si="186">IF(M72&lt;=M67,"Spełnia  art. 243","Nie spełnia art. 243")</f>
        <v>Spełnia  art. 243</v>
      </c>
      <c r="N73" s="230" t="str">
        <f t="shared" ref="N73" si="187">IF(N72&lt;=N67,"Spełnia  art. 243","Nie spełnia art. 243")</f>
        <v>Spełnia  art. 243</v>
      </c>
      <c r="O73" s="230" t="str">
        <f t="shared" ref="O73" si="188">IF(O72&lt;=O67,"Spełnia  art. 243","Nie spełnia art. 243")</f>
        <v>Spełnia  art. 243</v>
      </c>
      <c r="P73" s="230" t="str">
        <f t="shared" ref="P73" si="189">IF(P72&lt;=P67,"Spełnia  art. 243","Nie spełnia art. 243")</f>
        <v>Spełnia  art. 243</v>
      </c>
      <c r="Q73" s="230" t="str">
        <f t="shared" ref="Q73" si="190">IF(Q72&lt;=Q67,"Spełnia  art. 243","Nie spełnia art. 243")</f>
        <v>Spełnia  art. 243</v>
      </c>
      <c r="R73" s="230" t="str">
        <f t="shared" ref="R73" si="191">IF(R72&lt;=R67,"Spełnia  art. 243","Nie spełnia art. 243")</f>
        <v>Spełnia  art. 243</v>
      </c>
      <c r="S73" s="228" t="s">
        <v>83</v>
      </c>
      <c r="T73" s="229" t="s">
        <v>295</v>
      </c>
      <c r="U73" s="230" t="str">
        <f t="shared" ref="U73" si="192">IF(U72&lt;=U67,"Spełnia  art. 243","Nie spełnia art. 243")</f>
        <v>Spełnia  art. 243</v>
      </c>
      <c r="V73" s="230" t="str">
        <f t="shared" ref="V73" si="193">IF(V72&lt;=V67,"Spełnia  art. 243","Nie spełnia art. 243")</f>
        <v>Spełnia  art. 243</v>
      </c>
      <c r="W73" s="230" t="str">
        <f t="shared" ref="W73" si="194">IF(W72&lt;=W67,"Spełnia  art. 243","Nie spełnia art. 243")</f>
        <v>Spełnia  art. 243</v>
      </c>
      <c r="X73" s="230" t="str">
        <f t="shared" ref="X73" si="195">IF(X72&lt;=X67,"Spełnia  art. 243","Nie spełnia art. 243")</f>
        <v>Spełnia  art. 243</v>
      </c>
      <c r="Y73" s="230" t="str">
        <f t="shared" ref="Y73" si="196">IF(Y72&lt;=Y67,"Spełnia  art. 243","Nie spełnia art. 243")</f>
        <v>Spełnia  art. 243</v>
      </c>
      <c r="Z73" s="230" t="str">
        <f t="shared" ref="Z73" si="197">IF(Z72&lt;=Z67,"Spełnia  art. 243","Nie spełnia art. 243")</f>
        <v>Spełnia  art. 243</v>
      </c>
      <c r="AA73" s="230" t="str">
        <f t="shared" ref="AA73" si="198">IF(AA72&lt;=AA67,"Spełnia  art. 243","Nie spełnia art. 243")</f>
        <v>Spełnia  art. 243</v>
      </c>
      <c r="AB73" s="228" t="s">
        <v>83</v>
      </c>
      <c r="AC73" s="229" t="s">
        <v>295</v>
      </c>
      <c r="AD73" s="230" t="str">
        <f t="shared" ref="AD73" si="199">IF(AD72&lt;=AD67,"Spełnia  art. 243","Nie spełnia art. 243")</f>
        <v>Spełnia  art. 243</v>
      </c>
      <c r="AE73" s="230" t="str">
        <f t="shared" ref="AE73" si="200">IF(AE72&lt;=AE67,"Spełnia  art. 243","Nie spełnia art. 243")</f>
        <v>Spełnia  art. 243</v>
      </c>
      <c r="AF73" s="230" t="str">
        <f t="shared" ref="AF73" si="201">IF(AF72&lt;=AF67,"Spełnia  art. 243","Nie spełnia art. 243")</f>
        <v>Spełnia  art. 243</v>
      </c>
      <c r="AG73" s="230" t="str">
        <f t="shared" ref="AG73" si="202">IF(AG72&lt;=AG67,"Spełnia  art. 243","Nie spełnia art. 243")</f>
        <v>Spełnia  art. 243</v>
      </c>
      <c r="AH73" s="230" t="str">
        <f t="shared" ref="AH73" si="203">IF(AH72&lt;=AH67,"Spełnia  art. 243","Nie spełnia art. 243")</f>
        <v>Spełnia  art. 243</v>
      </c>
      <c r="AI73" s="230" t="str">
        <f t="shared" ref="AI73" si="204">IF(AI72&lt;=AI67,"Spełnia  art. 243","Nie spełnia art. 243")</f>
        <v>Spełnia  art. 243</v>
      </c>
      <c r="AJ73" s="230" t="str">
        <f t="shared" ref="AJ73" si="205">IF(AJ72&lt;=AJ67,"Spełnia  art. 243","Nie spełnia art. 243")</f>
        <v>Spełnia  art. 243</v>
      </c>
      <c r="AK73" s="228" t="s">
        <v>83</v>
      </c>
      <c r="AL73" s="229" t="s">
        <v>295</v>
      </c>
      <c r="AM73" s="230" t="str">
        <f t="shared" ref="AM73" si="206">IF(AM72&lt;=AM67,"Spełnia  art. 243","Nie spełnia art. 243")</f>
        <v>Spełnia  art. 243</v>
      </c>
      <c r="AN73" s="230" t="str">
        <f t="shared" ref="AN73" si="207">IF(AN72&lt;=AN67,"Spełnia  art. 243","Nie spełnia art. 243")</f>
        <v>Spełnia  art. 243</v>
      </c>
      <c r="AO73" s="230" t="str">
        <f t="shared" ref="AO73" si="208">IF(AO72&lt;=AO67,"Spełnia  art. 243","Nie spełnia art. 243")</f>
        <v>Spełnia  art. 243</v>
      </c>
      <c r="AP73" s="230" t="str">
        <f t="shared" ref="AP73" si="209">IF(AP72&lt;=AP67,"Spełnia  art. 243","Nie spełnia art. 243")</f>
        <v>Spełnia  art. 243</v>
      </c>
      <c r="AQ73" s="230" t="str">
        <f t="shared" ref="AQ73" si="210">IF(AQ72&lt;=AQ67,"Spełnia  art. 243","Nie spełnia art. 243")</f>
        <v>Spełnia  art. 243</v>
      </c>
      <c r="AR73" s="230" t="str">
        <f t="shared" ref="AR73" si="211">IF(AR72&lt;=AR67,"Spełnia  art. 243","Nie spełnia art. 243")</f>
        <v>Spełnia  art. 243</v>
      </c>
      <c r="AS73" s="230" t="str">
        <f t="shared" ref="AS73" si="212">IF(AS72&lt;=AS67,"Spełnia  art. 243","Nie spełnia art. 243")</f>
        <v>Spełnia  art. 243</v>
      </c>
      <c r="AT73" s="228" t="s">
        <v>83</v>
      </c>
      <c r="AU73" s="229" t="s">
        <v>295</v>
      </c>
      <c r="AV73" s="230" t="str">
        <f t="shared" ref="AV73" si="213">IF(AV72&lt;=AV67,"Spełnia  art. 243","Nie spełnia art. 243")</f>
        <v>Spełnia  art. 243</v>
      </c>
      <c r="AW73" s="230" t="str">
        <f t="shared" ref="AW73" si="214">IF(AW72&lt;=AW67,"Spełnia  art. 243","Nie spełnia art. 243")</f>
        <v>Spełnia  art. 243</v>
      </c>
    </row>
    <row r="74" spans="1:49" ht="38.25">
      <c r="A74" s="50" t="s">
        <v>282</v>
      </c>
      <c r="B74" s="72" t="s">
        <v>296</v>
      </c>
      <c r="C74" s="73" t="s">
        <v>97</v>
      </c>
      <c r="D74" s="73" t="str">
        <f>IF(D72&lt;=D68,"Spełnia  art. 243","Nie spełnia art. 243")</f>
        <v>Spełnia  art. 243</v>
      </c>
      <c r="E74" s="73" t="str">
        <f t="shared" ref="E74:I74" si="215">IF(E72&lt;=E68,"Spełnia  art. 243","Nie spełnia art. 243")</f>
        <v>Spełnia  art. 243</v>
      </c>
      <c r="F74" s="73" t="str">
        <f t="shared" si="215"/>
        <v>Spełnia  art. 243</v>
      </c>
      <c r="G74" s="73" t="str">
        <f t="shared" si="215"/>
        <v>Spełnia  art. 243</v>
      </c>
      <c r="H74" s="73" t="str">
        <f t="shared" si="215"/>
        <v>Spełnia  art. 243</v>
      </c>
      <c r="I74" s="73" t="str">
        <f t="shared" si="215"/>
        <v>Spełnia  art. 243</v>
      </c>
      <c r="J74" s="50" t="s">
        <v>282</v>
      </c>
      <c r="K74" s="72" t="s">
        <v>296</v>
      </c>
      <c r="L74" s="73" t="str">
        <f t="shared" ref="L74:R74" si="216">IF(L72&lt;=L68,"Spełnia  art. 243","Nie spełnia art. 243")</f>
        <v>Spełnia  art. 243</v>
      </c>
      <c r="M74" s="73" t="str">
        <f t="shared" si="216"/>
        <v>Spełnia  art. 243</v>
      </c>
      <c r="N74" s="73" t="str">
        <f t="shared" si="216"/>
        <v>Spełnia  art. 243</v>
      </c>
      <c r="O74" s="73" t="str">
        <f t="shared" si="216"/>
        <v>Spełnia  art. 243</v>
      </c>
      <c r="P74" s="73" t="str">
        <f t="shared" si="216"/>
        <v>Spełnia  art. 243</v>
      </c>
      <c r="Q74" s="73" t="str">
        <f t="shared" si="216"/>
        <v>Spełnia  art. 243</v>
      </c>
      <c r="R74" s="73" t="str">
        <f t="shared" si="216"/>
        <v>Spełnia  art. 243</v>
      </c>
      <c r="S74" s="50" t="s">
        <v>282</v>
      </c>
      <c r="T74" s="72" t="s">
        <v>296</v>
      </c>
      <c r="U74" s="73" t="str">
        <f t="shared" ref="U74:AA74" si="217">IF(U72&lt;=U68,"Spełnia  art. 243","Nie spełnia art. 243")</f>
        <v>Spełnia  art. 243</v>
      </c>
      <c r="V74" s="73" t="str">
        <f t="shared" si="217"/>
        <v>Spełnia  art. 243</v>
      </c>
      <c r="W74" s="73" t="str">
        <f t="shared" si="217"/>
        <v>Spełnia  art. 243</v>
      </c>
      <c r="X74" s="73" t="str">
        <f t="shared" si="217"/>
        <v>Spełnia  art. 243</v>
      </c>
      <c r="Y74" s="73" t="str">
        <f t="shared" si="217"/>
        <v>Spełnia  art. 243</v>
      </c>
      <c r="Z74" s="73" t="str">
        <f t="shared" si="217"/>
        <v>Spełnia  art. 243</v>
      </c>
      <c r="AA74" s="73" t="str">
        <f t="shared" si="217"/>
        <v>Spełnia  art. 243</v>
      </c>
      <c r="AB74" s="50" t="s">
        <v>282</v>
      </c>
      <c r="AC74" s="72" t="s">
        <v>296</v>
      </c>
      <c r="AD74" s="73" t="str">
        <f t="shared" ref="AD74:AJ74" si="218">IF(AD72&lt;=AD68,"Spełnia  art. 243","Nie spełnia art. 243")</f>
        <v>Spełnia  art. 243</v>
      </c>
      <c r="AE74" s="73" t="str">
        <f t="shared" si="218"/>
        <v>Spełnia  art. 243</v>
      </c>
      <c r="AF74" s="73" t="str">
        <f t="shared" si="218"/>
        <v>Spełnia  art. 243</v>
      </c>
      <c r="AG74" s="73" t="str">
        <f t="shared" si="218"/>
        <v>Spełnia  art. 243</v>
      </c>
      <c r="AH74" s="73" t="str">
        <f t="shared" si="218"/>
        <v>Spełnia  art. 243</v>
      </c>
      <c r="AI74" s="73" t="str">
        <f t="shared" si="218"/>
        <v>Spełnia  art. 243</v>
      </c>
      <c r="AJ74" s="73" t="str">
        <f t="shared" si="218"/>
        <v>Spełnia  art. 243</v>
      </c>
      <c r="AK74" s="50" t="s">
        <v>282</v>
      </c>
      <c r="AL74" s="72" t="s">
        <v>296</v>
      </c>
      <c r="AM74" s="73" t="str">
        <f t="shared" ref="AM74:AS74" si="219">IF(AM72&lt;=AM68,"Spełnia  art. 243","Nie spełnia art. 243")</f>
        <v>Spełnia  art. 243</v>
      </c>
      <c r="AN74" s="73" t="str">
        <f t="shared" si="219"/>
        <v>Spełnia  art. 243</v>
      </c>
      <c r="AO74" s="73" t="str">
        <f t="shared" si="219"/>
        <v>Spełnia  art. 243</v>
      </c>
      <c r="AP74" s="73" t="str">
        <f t="shared" si="219"/>
        <v>Spełnia  art. 243</v>
      </c>
      <c r="AQ74" s="73" t="str">
        <f t="shared" si="219"/>
        <v>Spełnia  art. 243</v>
      </c>
      <c r="AR74" s="73" t="str">
        <f t="shared" si="219"/>
        <v>Spełnia  art. 243</v>
      </c>
      <c r="AS74" s="73" t="str">
        <f t="shared" si="219"/>
        <v>Spełnia  art. 243</v>
      </c>
      <c r="AT74" s="50" t="s">
        <v>282</v>
      </c>
      <c r="AU74" s="72" t="s">
        <v>296</v>
      </c>
      <c r="AV74" s="73" t="str">
        <f t="shared" ref="AV74:AW74" si="220">IF(AV72&lt;=AV68,"Spełnia  art. 243","Nie spełnia art. 243")</f>
        <v>Spełnia  art. 243</v>
      </c>
      <c r="AW74" s="73" t="str">
        <f t="shared" si="220"/>
        <v>Spełnia  art. 243</v>
      </c>
    </row>
    <row r="75" spans="1:49" ht="12" customHeight="1">
      <c r="A75" s="55">
        <v>23</v>
      </c>
      <c r="B75" s="56" t="s">
        <v>84</v>
      </c>
      <c r="C75" s="35">
        <f>SUM(C5)</f>
        <v>40095561.079999998</v>
      </c>
      <c r="D75" s="35">
        <f t="shared" ref="D75:H75" si="221">SUM(D5)</f>
        <v>43619757.509999998</v>
      </c>
      <c r="E75" s="35">
        <f t="shared" si="221"/>
        <v>46332582.530000001</v>
      </c>
      <c r="F75" s="35">
        <f t="shared" si="221"/>
        <v>46600669.140000001</v>
      </c>
      <c r="G75" s="35">
        <f t="shared" si="221"/>
        <v>46362767</v>
      </c>
      <c r="H75" s="35">
        <f t="shared" si="221"/>
        <v>47753650</v>
      </c>
      <c r="I75" s="35">
        <f>SUM(I5)</f>
        <v>49186260</v>
      </c>
      <c r="J75" s="55">
        <v>23</v>
      </c>
      <c r="K75" s="56" t="s">
        <v>84</v>
      </c>
      <c r="L75" s="35">
        <f t="shared" ref="L75:Q75" si="222">SUM(L5)</f>
        <v>50661900</v>
      </c>
      <c r="M75" s="35">
        <f t="shared" si="222"/>
        <v>52181700</v>
      </c>
      <c r="N75" s="35">
        <f t="shared" si="222"/>
        <v>53747200</v>
      </c>
      <c r="O75" s="35">
        <f t="shared" si="222"/>
        <v>55359600</v>
      </c>
      <c r="P75" s="35">
        <f t="shared" si="222"/>
        <v>57020400</v>
      </c>
      <c r="Q75" s="35">
        <f t="shared" si="222"/>
        <v>58731000</v>
      </c>
      <c r="R75" s="35">
        <f>SUM(R5)</f>
        <v>60492900</v>
      </c>
      <c r="S75" s="55">
        <v>23</v>
      </c>
      <c r="T75" s="56" t="s">
        <v>84</v>
      </c>
      <c r="U75" s="35">
        <f t="shared" ref="U75:Z75" si="223">SUM(U5)</f>
        <v>62060768</v>
      </c>
      <c r="V75" s="35">
        <f t="shared" si="223"/>
        <v>63475286</v>
      </c>
      <c r="W75" s="35">
        <f t="shared" si="223"/>
        <v>64922338</v>
      </c>
      <c r="X75" s="35">
        <f t="shared" si="223"/>
        <v>66402672</v>
      </c>
      <c r="Y75" s="35">
        <f t="shared" si="223"/>
        <v>67917053</v>
      </c>
      <c r="Z75" s="35">
        <f t="shared" si="223"/>
        <v>69398908</v>
      </c>
      <c r="AA75" s="35">
        <f>SUM(AA5)</f>
        <v>70913364</v>
      </c>
      <c r="AB75" s="55">
        <v>23</v>
      </c>
      <c r="AC75" s="56" t="s">
        <v>84</v>
      </c>
      <c r="AD75" s="35">
        <f t="shared" ref="AD75:AI75" si="224">SUM(AD5)</f>
        <v>72461138</v>
      </c>
      <c r="AE75" s="35">
        <f t="shared" si="224"/>
        <v>74042963</v>
      </c>
      <c r="AF75" s="35">
        <f t="shared" si="224"/>
        <v>75659588</v>
      </c>
      <c r="AG75" s="35">
        <f t="shared" si="224"/>
        <v>77236679</v>
      </c>
      <c r="AH75" s="35">
        <f t="shared" si="224"/>
        <v>78846889</v>
      </c>
      <c r="AI75" s="35">
        <f t="shared" si="224"/>
        <v>80490914</v>
      </c>
      <c r="AJ75" s="35">
        <f>SUM(AJ5)</f>
        <v>82169463</v>
      </c>
      <c r="AK75" s="55">
        <v>23</v>
      </c>
      <c r="AL75" s="56" t="s">
        <v>84</v>
      </c>
      <c r="AM75" s="35">
        <f t="shared" ref="AM75:AR75" si="225">SUM(AM5)</f>
        <v>83883262</v>
      </c>
      <c r="AN75" s="35">
        <f t="shared" si="225"/>
        <v>85549727</v>
      </c>
      <c r="AO75" s="35">
        <f t="shared" si="225"/>
        <v>87249522</v>
      </c>
      <c r="AP75" s="35">
        <f t="shared" si="225"/>
        <v>88983312</v>
      </c>
      <c r="AQ75" s="35">
        <f t="shared" si="225"/>
        <v>90751778</v>
      </c>
      <c r="AR75" s="35">
        <f t="shared" si="225"/>
        <v>92555614</v>
      </c>
      <c r="AS75" s="35">
        <f>SUM(AS5)</f>
        <v>94395526</v>
      </c>
      <c r="AT75" s="55">
        <v>23</v>
      </c>
      <c r="AU75" s="56" t="s">
        <v>84</v>
      </c>
      <c r="AV75" s="35">
        <f t="shared" ref="AV75:AW75" si="226">SUM(AV5)</f>
        <v>96272237</v>
      </c>
      <c r="AW75" s="35">
        <f t="shared" si="226"/>
        <v>98186482</v>
      </c>
    </row>
    <row r="76" spans="1:49" ht="12" customHeight="1">
      <c r="A76" s="57">
        <v>24</v>
      </c>
      <c r="B76" s="58" t="s">
        <v>85</v>
      </c>
      <c r="C76" s="59">
        <f>SUM(C12,C32)</f>
        <v>34196315.979999997</v>
      </c>
      <c r="D76" s="59">
        <f t="shared" ref="D76:H76" si="227">SUM(D12,D32)</f>
        <v>37114595.439999998</v>
      </c>
      <c r="E76" s="59">
        <f t="shared" si="227"/>
        <v>40659201.530000001</v>
      </c>
      <c r="F76" s="59">
        <f t="shared" si="227"/>
        <v>40927288.140000001</v>
      </c>
      <c r="G76" s="59">
        <f t="shared" si="227"/>
        <v>41163442</v>
      </c>
      <c r="H76" s="59">
        <f t="shared" si="227"/>
        <v>40971849</v>
      </c>
      <c r="I76" s="59">
        <f>SUM(I12,I32)</f>
        <v>41879625</v>
      </c>
      <c r="J76" s="57">
        <v>24</v>
      </c>
      <c r="K76" s="58" t="s">
        <v>85</v>
      </c>
      <c r="L76" s="59">
        <f t="shared" ref="L76:Q76" si="228">SUM(L12,L32)</f>
        <v>42856981</v>
      </c>
      <c r="M76" s="59">
        <f t="shared" si="228"/>
        <v>43691423</v>
      </c>
      <c r="N76" s="59">
        <f t="shared" si="228"/>
        <v>44615560</v>
      </c>
      <c r="O76" s="59">
        <f t="shared" si="228"/>
        <v>45586058</v>
      </c>
      <c r="P76" s="59">
        <f t="shared" si="228"/>
        <v>46591532</v>
      </c>
      <c r="Q76" s="59">
        <f t="shared" si="228"/>
        <v>47620008</v>
      </c>
      <c r="R76" s="59">
        <f>SUM(R12,R32)</f>
        <v>48675889</v>
      </c>
      <c r="S76" s="57">
        <v>24</v>
      </c>
      <c r="T76" s="58" t="s">
        <v>85</v>
      </c>
      <c r="U76" s="59">
        <f t="shared" ref="U76:Z76" si="229">SUM(U12,U32)</f>
        <v>49710957</v>
      </c>
      <c r="V76" s="59">
        <f t="shared" si="229"/>
        <v>50771803</v>
      </c>
      <c r="W76" s="59">
        <f t="shared" si="229"/>
        <v>51856866</v>
      </c>
      <c r="X76" s="59">
        <f t="shared" si="229"/>
        <v>52969539</v>
      </c>
      <c r="Y76" s="59">
        <f t="shared" si="229"/>
        <v>54108837</v>
      </c>
      <c r="Z76" s="59">
        <f t="shared" si="229"/>
        <v>55244974</v>
      </c>
      <c r="AA76" s="59">
        <f>SUM(AA12,AA32)</f>
        <v>56443971</v>
      </c>
      <c r="AB76" s="57">
        <v>24</v>
      </c>
      <c r="AC76" s="58" t="s">
        <v>85</v>
      </c>
      <c r="AD76" s="59">
        <f t="shared" ref="AD76:AI76" si="230">SUM(AD12,AD32)</f>
        <v>57669346</v>
      </c>
      <c r="AE76" s="59">
        <f t="shared" si="230"/>
        <v>58921679</v>
      </c>
      <c r="AF76" s="59">
        <f t="shared" si="230"/>
        <v>60201563</v>
      </c>
      <c r="AG76" s="59">
        <f t="shared" si="230"/>
        <v>61450149</v>
      </c>
      <c r="AH76" s="59">
        <f t="shared" si="230"/>
        <v>62724955</v>
      </c>
      <c r="AI76" s="59">
        <f t="shared" si="230"/>
        <v>64026532</v>
      </c>
      <c r="AJ76" s="59">
        <f>SUM(AJ12,AJ32)</f>
        <v>65355442</v>
      </c>
      <c r="AK76" s="57">
        <v>24</v>
      </c>
      <c r="AL76" s="58" t="s">
        <v>85</v>
      </c>
      <c r="AM76" s="59">
        <f t="shared" ref="AM76:AR76" si="231">SUM(AM12,AM32)</f>
        <v>66712259</v>
      </c>
      <c r="AN76" s="59">
        <f t="shared" si="231"/>
        <v>72111602</v>
      </c>
      <c r="AO76" s="59">
        <f t="shared" si="231"/>
        <v>73538932</v>
      </c>
      <c r="AP76" s="59">
        <f t="shared" si="231"/>
        <v>74994809</v>
      </c>
      <c r="AQ76" s="59">
        <f t="shared" si="231"/>
        <v>76479803</v>
      </c>
      <c r="AR76" s="59">
        <f t="shared" si="231"/>
        <v>77994497</v>
      </c>
      <c r="AS76" s="59">
        <f>SUM(AS12,AS32)</f>
        <v>79539485</v>
      </c>
      <c r="AT76" s="57">
        <v>24</v>
      </c>
      <c r="AU76" s="58" t="s">
        <v>85</v>
      </c>
      <c r="AV76" s="59">
        <f t="shared" ref="AV76:AW76" si="232">SUM(AV12,AV32)</f>
        <v>81115373</v>
      </c>
      <c r="AW76" s="59">
        <f t="shared" si="232"/>
        <v>82722778</v>
      </c>
    </row>
    <row r="77" spans="1:49" ht="12" customHeight="1">
      <c r="A77" s="50">
        <v>25</v>
      </c>
      <c r="B77" s="51" t="s">
        <v>297</v>
      </c>
      <c r="C77" s="53">
        <f>SUM(C75-C76)</f>
        <v>5899245.1000000015</v>
      </c>
      <c r="D77" s="53">
        <f t="shared" ref="D77:H77" si="233">SUM(D75-D76)</f>
        <v>6505162.0700000003</v>
      </c>
      <c r="E77" s="53">
        <f t="shared" si="233"/>
        <v>5673381</v>
      </c>
      <c r="F77" s="53">
        <f t="shared" si="233"/>
        <v>5673381</v>
      </c>
      <c r="G77" s="53">
        <f t="shared" si="233"/>
        <v>5199325</v>
      </c>
      <c r="H77" s="53">
        <f t="shared" si="233"/>
        <v>6781801</v>
      </c>
      <c r="I77" s="53">
        <f>SUM(I75-I76)</f>
        <v>7306635</v>
      </c>
      <c r="J77" s="50">
        <v>25</v>
      </c>
      <c r="K77" s="51" t="s">
        <v>297</v>
      </c>
      <c r="L77" s="53">
        <f t="shared" ref="L77:Q77" si="234">SUM(L75-L76)</f>
        <v>7804919</v>
      </c>
      <c r="M77" s="53">
        <f t="shared" si="234"/>
        <v>8490277</v>
      </c>
      <c r="N77" s="53">
        <f t="shared" si="234"/>
        <v>9131640</v>
      </c>
      <c r="O77" s="53">
        <f t="shared" si="234"/>
        <v>9773542</v>
      </c>
      <c r="P77" s="53">
        <f t="shared" si="234"/>
        <v>10428868</v>
      </c>
      <c r="Q77" s="53">
        <f t="shared" si="234"/>
        <v>11110992</v>
      </c>
      <c r="R77" s="53">
        <f>SUM(R75-R76)</f>
        <v>11817011</v>
      </c>
      <c r="S77" s="50">
        <v>25</v>
      </c>
      <c r="T77" s="51" t="s">
        <v>297</v>
      </c>
      <c r="U77" s="53">
        <f t="shared" ref="U77:Z77" si="235">SUM(U75-U76)</f>
        <v>12349811</v>
      </c>
      <c r="V77" s="53">
        <f t="shared" si="235"/>
        <v>12703483</v>
      </c>
      <c r="W77" s="53">
        <f t="shared" si="235"/>
        <v>13065472</v>
      </c>
      <c r="X77" s="53">
        <f t="shared" si="235"/>
        <v>13433133</v>
      </c>
      <c r="Y77" s="53">
        <f t="shared" si="235"/>
        <v>13808216</v>
      </c>
      <c r="Z77" s="53">
        <f t="shared" si="235"/>
        <v>14153934</v>
      </c>
      <c r="AA77" s="53">
        <f>SUM(AA75-AA76)</f>
        <v>14469393</v>
      </c>
      <c r="AB77" s="50">
        <v>25</v>
      </c>
      <c r="AC77" s="51" t="s">
        <v>297</v>
      </c>
      <c r="AD77" s="53">
        <f t="shared" ref="AD77:AI77" si="236">SUM(AD75-AD76)</f>
        <v>14791792</v>
      </c>
      <c r="AE77" s="53">
        <f t="shared" si="236"/>
        <v>15121284</v>
      </c>
      <c r="AF77" s="53">
        <f t="shared" si="236"/>
        <v>15458025</v>
      </c>
      <c r="AG77" s="53">
        <f t="shared" si="236"/>
        <v>15786530</v>
      </c>
      <c r="AH77" s="53">
        <f t="shared" si="236"/>
        <v>16121934</v>
      </c>
      <c r="AI77" s="53">
        <f t="shared" si="236"/>
        <v>16464382</v>
      </c>
      <c r="AJ77" s="53">
        <f>SUM(AJ75-AJ76)</f>
        <v>16814021</v>
      </c>
      <c r="AK77" s="50">
        <v>25</v>
      </c>
      <c r="AL77" s="51" t="s">
        <v>297</v>
      </c>
      <c r="AM77" s="53">
        <f t="shared" ref="AM77:AR77" si="237">SUM(AM75-AM76)</f>
        <v>17171003</v>
      </c>
      <c r="AN77" s="53">
        <f t="shared" si="237"/>
        <v>13438125</v>
      </c>
      <c r="AO77" s="53">
        <f t="shared" si="237"/>
        <v>13710590</v>
      </c>
      <c r="AP77" s="53">
        <f t="shared" si="237"/>
        <v>13988503</v>
      </c>
      <c r="AQ77" s="53">
        <f t="shared" si="237"/>
        <v>14271975</v>
      </c>
      <c r="AR77" s="53">
        <f t="shared" si="237"/>
        <v>14561117</v>
      </c>
      <c r="AS77" s="53">
        <f>SUM(AS75-AS76)</f>
        <v>14856041</v>
      </c>
      <c r="AT77" s="50">
        <v>25</v>
      </c>
      <c r="AU77" s="51" t="s">
        <v>297</v>
      </c>
      <c r="AV77" s="53">
        <f t="shared" ref="AV77:AW77" si="238">SUM(AV75-AV76)</f>
        <v>15156864</v>
      </c>
      <c r="AW77" s="53">
        <f t="shared" si="238"/>
        <v>15463704</v>
      </c>
    </row>
    <row r="78" spans="1:49" ht="12" customHeight="1">
      <c r="A78" s="55"/>
      <c r="B78" s="56" t="s">
        <v>94</v>
      </c>
      <c r="C78" s="35">
        <f>SUM(C8)</f>
        <v>2629027.9700000002</v>
      </c>
      <c r="D78" s="35">
        <f t="shared" ref="D78:H78" si="239">SUM(D8)</f>
        <v>624010.51</v>
      </c>
      <c r="E78" s="35">
        <f t="shared" si="239"/>
        <v>23223515</v>
      </c>
      <c r="F78" s="35">
        <f t="shared" si="239"/>
        <v>16992592</v>
      </c>
      <c r="G78" s="35">
        <f t="shared" si="239"/>
        <v>1143000</v>
      </c>
      <c r="H78" s="35">
        <f t="shared" si="239"/>
        <v>1000000</v>
      </c>
      <c r="I78" s="35">
        <f>SUM(I8)</f>
        <v>1000000</v>
      </c>
      <c r="J78" s="55"/>
      <c r="K78" s="56" t="s">
        <v>94</v>
      </c>
      <c r="L78" s="35">
        <f t="shared" ref="L78:Q78" si="240">SUM(L8)</f>
        <v>0</v>
      </c>
      <c r="M78" s="35">
        <f t="shared" si="240"/>
        <v>0</v>
      </c>
      <c r="N78" s="35">
        <f t="shared" si="240"/>
        <v>0</v>
      </c>
      <c r="O78" s="35">
        <f t="shared" si="240"/>
        <v>0</v>
      </c>
      <c r="P78" s="35">
        <f t="shared" si="240"/>
        <v>0</v>
      </c>
      <c r="Q78" s="35">
        <f t="shared" si="240"/>
        <v>0</v>
      </c>
      <c r="R78" s="35">
        <f>SUM(R8)</f>
        <v>0</v>
      </c>
      <c r="S78" s="55"/>
      <c r="T78" s="56" t="s">
        <v>94</v>
      </c>
      <c r="U78" s="35">
        <f t="shared" ref="U78:Z78" si="241">SUM(U8)</f>
        <v>0</v>
      </c>
      <c r="V78" s="35">
        <f t="shared" si="241"/>
        <v>0</v>
      </c>
      <c r="W78" s="35">
        <f t="shared" si="241"/>
        <v>0</v>
      </c>
      <c r="X78" s="35">
        <f t="shared" si="241"/>
        <v>0</v>
      </c>
      <c r="Y78" s="35">
        <f t="shared" si="241"/>
        <v>0</v>
      </c>
      <c r="Z78" s="35">
        <f t="shared" si="241"/>
        <v>0</v>
      </c>
      <c r="AA78" s="35">
        <f>SUM(AA8)</f>
        <v>0</v>
      </c>
      <c r="AB78" s="55"/>
      <c r="AC78" s="56" t="s">
        <v>94</v>
      </c>
      <c r="AD78" s="35">
        <f t="shared" ref="AD78:AI78" si="242">SUM(AD8)</f>
        <v>0</v>
      </c>
      <c r="AE78" s="35">
        <f t="shared" si="242"/>
        <v>0</v>
      </c>
      <c r="AF78" s="35">
        <f t="shared" si="242"/>
        <v>0</v>
      </c>
      <c r="AG78" s="35">
        <f t="shared" si="242"/>
        <v>0</v>
      </c>
      <c r="AH78" s="35">
        <f t="shared" si="242"/>
        <v>0</v>
      </c>
      <c r="AI78" s="35">
        <f t="shared" si="242"/>
        <v>0</v>
      </c>
      <c r="AJ78" s="35">
        <f>SUM(AJ8)</f>
        <v>0</v>
      </c>
      <c r="AK78" s="55"/>
      <c r="AL78" s="56" t="s">
        <v>94</v>
      </c>
      <c r="AM78" s="35">
        <f t="shared" ref="AM78:AR78" si="243">SUM(AM8)</f>
        <v>0</v>
      </c>
      <c r="AN78" s="35">
        <f t="shared" si="243"/>
        <v>0</v>
      </c>
      <c r="AO78" s="35">
        <f t="shared" si="243"/>
        <v>0</v>
      </c>
      <c r="AP78" s="35">
        <f t="shared" si="243"/>
        <v>0</v>
      </c>
      <c r="AQ78" s="35">
        <f t="shared" si="243"/>
        <v>0</v>
      </c>
      <c r="AR78" s="35">
        <f t="shared" si="243"/>
        <v>0</v>
      </c>
      <c r="AS78" s="35">
        <f>SUM(AS8)</f>
        <v>0</v>
      </c>
      <c r="AT78" s="55"/>
      <c r="AU78" s="56" t="s">
        <v>94</v>
      </c>
      <c r="AV78" s="35">
        <f t="shared" ref="AV78:AW78" si="244">SUM(AV8)</f>
        <v>0</v>
      </c>
      <c r="AW78" s="35">
        <f t="shared" si="244"/>
        <v>0</v>
      </c>
    </row>
    <row r="79" spans="1:49" ht="12" customHeight="1">
      <c r="A79" s="57"/>
      <c r="B79" s="58" t="s">
        <v>95</v>
      </c>
      <c r="C79" s="59">
        <f>SUM(C38)</f>
        <v>11153742.220000001</v>
      </c>
      <c r="D79" s="59">
        <f t="shared" ref="D79:H79" si="245">SUM(D38)</f>
        <v>8069753.3700000001</v>
      </c>
      <c r="E79" s="59">
        <f t="shared" si="245"/>
        <v>24300496</v>
      </c>
      <c r="F79" s="59">
        <f t="shared" si="245"/>
        <v>18069573</v>
      </c>
      <c r="G79" s="59">
        <f t="shared" si="245"/>
        <v>1081396</v>
      </c>
      <c r="H79" s="59">
        <f t="shared" si="245"/>
        <v>3112472</v>
      </c>
      <c r="I79" s="59">
        <f>SUM(I38)</f>
        <v>4543886</v>
      </c>
      <c r="J79" s="57"/>
      <c r="K79" s="58" t="s">
        <v>95</v>
      </c>
      <c r="L79" s="59">
        <f t="shared" ref="L79:Q79" si="246">SUM(L38)</f>
        <v>5165922.25</v>
      </c>
      <c r="M79" s="59">
        <f t="shared" si="246"/>
        <v>7885277</v>
      </c>
      <c r="N79" s="59">
        <f t="shared" si="246"/>
        <v>8756045</v>
      </c>
      <c r="O79" s="59">
        <f t="shared" si="246"/>
        <v>9773542</v>
      </c>
      <c r="P79" s="59">
        <f t="shared" si="246"/>
        <v>10428868</v>
      </c>
      <c r="Q79" s="59">
        <f t="shared" si="246"/>
        <v>11110992</v>
      </c>
      <c r="R79" s="59">
        <f>SUM(R38)</f>
        <v>11817011</v>
      </c>
      <c r="S79" s="57"/>
      <c r="T79" s="58" t="s">
        <v>95</v>
      </c>
      <c r="U79" s="59">
        <f t="shared" ref="U79:Z79" si="247">SUM(U38)</f>
        <v>12349811</v>
      </c>
      <c r="V79" s="59">
        <f t="shared" si="247"/>
        <v>12703483</v>
      </c>
      <c r="W79" s="59">
        <f t="shared" si="247"/>
        <v>13065472</v>
      </c>
      <c r="X79" s="59">
        <f t="shared" si="247"/>
        <v>13433133</v>
      </c>
      <c r="Y79" s="59">
        <f t="shared" si="247"/>
        <v>13808216</v>
      </c>
      <c r="Z79" s="59">
        <f t="shared" si="247"/>
        <v>14153934</v>
      </c>
      <c r="AA79" s="59">
        <f>SUM(AA38)</f>
        <v>14469393</v>
      </c>
      <c r="AB79" s="57"/>
      <c r="AC79" s="58" t="s">
        <v>95</v>
      </c>
      <c r="AD79" s="59">
        <f t="shared" ref="AD79:AI79" si="248">SUM(AD38)</f>
        <v>14791792</v>
      </c>
      <c r="AE79" s="59">
        <f t="shared" si="248"/>
        <v>15121284</v>
      </c>
      <c r="AF79" s="59">
        <f t="shared" si="248"/>
        <v>15458025</v>
      </c>
      <c r="AG79" s="59">
        <f t="shared" si="248"/>
        <v>15786530</v>
      </c>
      <c r="AH79" s="59">
        <f t="shared" si="248"/>
        <v>16121934</v>
      </c>
      <c r="AI79" s="59">
        <f t="shared" si="248"/>
        <v>16464382</v>
      </c>
      <c r="AJ79" s="59">
        <f>SUM(AJ38)</f>
        <v>16814021</v>
      </c>
      <c r="AK79" s="57"/>
      <c r="AL79" s="58" t="s">
        <v>95</v>
      </c>
      <c r="AM79" s="59">
        <f t="shared" ref="AM79:AR79" si="249">SUM(AM38)</f>
        <v>17171003</v>
      </c>
      <c r="AN79" s="59">
        <f t="shared" si="249"/>
        <v>13438125</v>
      </c>
      <c r="AO79" s="59">
        <f t="shared" si="249"/>
        <v>13710590</v>
      </c>
      <c r="AP79" s="59">
        <f t="shared" si="249"/>
        <v>13988503</v>
      </c>
      <c r="AQ79" s="59">
        <f t="shared" si="249"/>
        <v>14271975</v>
      </c>
      <c r="AR79" s="59">
        <f t="shared" si="249"/>
        <v>14561117</v>
      </c>
      <c r="AS79" s="59">
        <f>SUM(AS38)</f>
        <v>14856041</v>
      </c>
      <c r="AT79" s="57"/>
      <c r="AU79" s="58" t="s">
        <v>95</v>
      </c>
      <c r="AV79" s="59">
        <f t="shared" ref="AV79:AW79" si="250">SUM(AV38)</f>
        <v>15156864</v>
      </c>
      <c r="AW79" s="59">
        <f t="shared" si="250"/>
        <v>15463704</v>
      </c>
    </row>
    <row r="80" spans="1:49" ht="12" customHeight="1">
      <c r="A80" s="50"/>
      <c r="B80" s="51" t="s">
        <v>93</v>
      </c>
      <c r="C80" s="52">
        <f>+C78-C79</f>
        <v>-8524714.25</v>
      </c>
      <c r="D80" s="53">
        <f t="shared" ref="D80:H80" si="251">+D78-D79</f>
        <v>-7445742.8600000003</v>
      </c>
      <c r="E80" s="53">
        <f t="shared" si="251"/>
        <v>-1076981</v>
      </c>
      <c r="F80" s="53">
        <f t="shared" si="251"/>
        <v>-1076981</v>
      </c>
      <c r="G80" s="53">
        <f t="shared" si="251"/>
        <v>61604</v>
      </c>
      <c r="H80" s="53">
        <f t="shared" si="251"/>
        <v>-2112472</v>
      </c>
      <c r="I80" s="53">
        <f>+I78-I79</f>
        <v>-3543886</v>
      </c>
      <c r="J80" s="50"/>
      <c r="K80" s="51" t="s">
        <v>93</v>
      </c>
      <c r="L80" s="53">
        <f t="shared" ref="L80:Q80" si="252">+L78-L79</f>
        <v>-5165922.25</v>
      </c>
      <c r="M80" s="53">
        <f t="shared" si="252"/>
        <v>-7885277</v>
      </c>
      <c r="N80" s="53">
        <f t="shared" si="252"/>
        <v>-8756045</v>
      </c>
      <c r="O80" s="53">
        <f t="shared" si="252"/>
        <v>-9773542</v>
      </c>
      <c r="P80" s="53">
        <f t="shared" si="252"/>
        <v>-10428868</v>
      </c>
      <c r="Q80" s="53">
        <f t="shared" si="252"/>
        <v>-11110992</v>
      </c>
      <c r="R80" s="53">
        <f>+R78-R79</f>
        <v>-11817011</v>
      </c>
      <c r="S80" s="50"/>
      <c r="T80" s="51" t="s">
        <v>93</v>
      </c>
      <c r="U80" s="53">
        <f t="shared" ref="U80:Z80" si="253">+U78-U79</f>
        <v>-12349811</v>
      </c>
      <c r="V80" s="53">
        <f t="shared" si="253"/>
        <v>-12703483</v>
      </c>
      <c r="W80" s="53">
        <f t="shared" si="253"/>
        <v>-13065472</v>
      </c>
      <c r="X80" s="53">
        <f t="shared" si="253"/>
        <v>-13433133</v>
      </c>
      <c r="Y80" s="53">
        <f t="shared" si="253"/>
        <v>-13808216</v>
      </c>
      <c r="Z80" s="53">
        <f t="shared" si="253"/>
        <v>-14153934</v>
      </c>
      <c r="AA80" s="53">
        <f>+AA78-AA79</f>
        <v>-14469393</v>
      </c>
      <c r="AB80" s="50"/>
      <c r="AC80" s="51" t="s">
        <v>93</v>
      </c>
      <c r="AD80" s="53">
        <f t="shared" ref="AD80:AI80" si="254">+AD78-AD79</f>
        <v>-14791792</v>
      </c>
      <c r="AE80" s="53">
        <f t="shared" si="254"/>
        <v>-15121284</v>
      </c>
      <c r="AF80" s="53">
        <f t="shared" si="254"/>
        <v>-15458025</v>
      </c>
      <c r="AG80" s="53">
        <f t="shared" si="254"/>
        <v>-15786530</v>
      </c>
      <c r="AH80" s="53">
        <f t="shared" si="254"/>
        <v>-16121934</v>
      </c>
      <c r="AI80" s="53">
        <f t="shared" si="254"/>
        <v>-16464382</v>
      </c>
      <c r="AJ80" s="53">
        <f>+AJ78-AJ79</f>
        <v>-16814021</v>
      </c>
      <c r="AK80" s="50"/>
      <c r="AL80" s="51" t="s">
        <v>93</v>
      </c>
      <c r="AM80" s="53">
        <f t="shared" ref="AM80:AR80" si="255">+AM78-AM79</f>
        <v>-17171003</v>
      </c>
      <c r="AN80" s="53">
        <f t="shared" si="255"/>
        <v>-13438125</v>
      </c>
      <c r="AO80" s="53">
        <f t="shared" si="255"/>
        <v>-13710590</v>
      </c>
      <c r="AP80" s="53">
        <f t="shared" si="255"/>
        <v>-13988503</v>
      </c>
      <c r="AQ80" s="53">
        <f t="shared" si="255"/>
        <v>-14271975</v>
      </c>
      <c r="AR80" s="53">
        <f t="shared" si="255"/>
        <v>-14561117</v>
      </c>
      <c r="AS80" s="53">
        <f>+AS78-AS79</f>
        <v>-14856041</v>
      </c>
      <c r="AT80" s="50"/>
      <c r="AU80" s="51" t="s">
        <v>93</v>
      </c>
      <c r="AV80" s="53">
        <f t="shared" ref="AV80:AW80" si="256">+AV78-AV79</f>
        <v>-15156864</v>
      </c>
      <c r="AW80" s="53">
        <f t="shared" si="256"/>
        <v>-15463704</v>
      </c>
    </row>
    <row r="81" spans="1:52" ht="12" customHeight="1">
      <c r="A81" s="55">
        <v>26</v>
      </c>
      <c r="B81" s="56" t="s">
        <v>86</v>
      </c>
      <c r="C81" s="35">
        <f>SUM(C4)</f>
        <v>42724589.049999997</v>
      </c>
      <c r="D81" s="35">
        <f t="shared" ref="D81:H81" si="257">SUM(D4)</f>
        <v>44243768.019999996</v>
      </c>
      <c r="E81" s="35">
        <f t="shared" si="257"/>
        <v>69556097.530000001</v>
      </c>
      <c r="F81" s="35">
        <f t="shared" si="257"/>
        <v>63593261.140000001</v>
      </c>
      <c r="G81" s="35">
        <f t="shared" si="257"/>
        <v>47505767</v>
      </c>
      <c r="H81" s="35">
        <f t="shared" si="257"/>
        <v>48753650</v>
      </c>
      <c r="I81" s="35">
        <f>SUM(I4)</f>
        <v>50186260</v>
      </c>
      <c r="J81" s="55">
        <v>26</v>
      </c>
      <c r="K81" s="56" t="s">
        <v>86</v>
      </c>
      <c r="L81" s="35">
        <f t="shared" ref="L81:Q81" si="258">SUM(L4)</f>
        <v>50661900</v>
      </c>
      <c r="M81" s="35">
        <f t="shared" si="258"/>
        <v>52181700</v>
      </c>
      <c r="N81" s="35">
        <f t="shared" si="258"/>
        <v>53747200</v>
      </c>
      <c r="O81" s="35">
        <f t="shared" si="258"/>
        <v>55359600</v>
      </c>
      <c r="P81" s="35">
        <f t="shared" si="258"/>
        <v>57020400</v>
      </c>
      <c r="Q81" s="35">
        <f t="shared" si="258"/>
        <v>58731000</v>
      </c>
      <c r="R81" s="35">
        <f>SUM(R4)</f>
        <v>60492900</v>
      </c>
      <c r="S81" s="55">
        <v>26</v>
      </c>
      <c r="T81" s="56" t="s">
        <v>86</v>
      </c>
      <c r="U81" s="35">
        <f t="shared" ref="U81:Z81" si="259">SUM(U4)</f>
        <v>62060768</v>
      </c>
      <c r="V81" s="35">
        <f t="shared" si="259"/>
        <v>63475286</v>
      </c>
      <c r="W81" s="35">
        <f t="shared" si="259"/>
        <v>64922338</v>
      </c>
      <c r="X81" s="35">
        <f t="shared" si="259"/>
        <v>66402672</v>
      </c>
      <c r="Y81" s="35">
        <f t="shared" si="259"/>
        <v>67917053</v>
      </c>
      <c r="Z81" s="35">
        <f t="shared" si="259"/>
        <v>69398908</v>
      </c>
      <c r="AA81" s="35">
        <f>SUM(AA4)</f>
        <v>70913364</v>
      </c>
      <c r="AB81" s="55">
        <v>26</v>
      </c>
      <c r="AC81" s="56" t="s">
        <v>86</v>
      </c>
      <c r="AD81" s="35">
        <f t="shared" ref="AD81:AI81" si="260">SUM(AD4)</f>
        <v>72461138</v>
      </c>
      <c r="AE81" s="35">
        <f t="shared" si="260"/>
        <v>74042963</v>
      </c>
      <c r="AF81" s="35">
        <f t="shared" si="260"/>
        <v>75659588</v>
      </c>
      <c r="AG81" s="35">
        <f t="shared" si="260"/>
        <v>77236679</v>
      </c>
      <c r="AH81" s="35">
        <f t="shared" si="260"/>
        <v>78846889</v>
      </c>
      <c r="AI81" s="35">
        <f t="shared" si="260"/>
        <v>80490914</v>
      </c>
      <c r="AJ81" s="35">
        <f>SUM(AJ4)</f>
        <v>82169463</v>
      </c>
      <c r="AK81" s="55">
        <v>26</v>
      </c>
      <c r="AL81" s="56" t="s">
        <v>86</v>
      </c>
      <c r="AM81" s="35">
        <f t="shared" ref="AM81:AR81" si="261">SUM(AM4)</f>
        <v>83883262</v>
      </c>
      <c r="AN81" s="35">
        <f t="shared" si="261"/>
        <v>85549727</v>
      </c>
      <c r="AO81" s="35">
        <f t="shared" si="261"/>
        <v>87249522</v>
      </c>
      <c r="AP81" s="35">
        <f t="shared" si="261"/>
        <v>88983312</v>
      </c>
      <c r="AQ81" s="35">
        <f t="shared" si="261"/>
        <v>90751778</v>
      </c>
      <c r="AR81" s="35">
        <f t="shared" si="261"/>
        <v>92555614</v>
      </c>
      <c r="AS81" s="35">
        <f>SUM(AS4)</f>
        <v>94395526</v>
      </c>
      <c r="AT81" s="55">
        <v>26</v>
      </c>
      <c r="AU81" s="56" t="s">
        <v>86</v>
      </c>
      <c r="AV81" s="35">
        <f t="shared" ref="AV81:AW81" si="262">SUM(AV4)</f>
        <v>96272237</v>
      </c>
      <c r="AW81" s="35">
        <f t="shared" si="262"/>
        <v>98186482</v>
      </c>
    </row>
    <row r="82" spans="1:52" ht="13.5" customHeight="1">
      <c r="A82" s="57">
        <v>27</v>
      </c>
      <c r="B82" s="58" t="s">
        <v>298</v>
      </c>
      <c r="C82" s="59">
        <f>SUM(C76,C79)</f>
        <v>45350058.199999996</v>
      </c>
      <c r="D82" s="59">
        <f t="shared" ref="D82:H82" si="263">SUM(D76,D79)</f>
        <v>45184348.809999995</v>
      </c>
      <c r="E82" s="59">
        <f t="shared" si="263"/>
        <v>64959697.530000001</v>
      </c>
      <c r="F82" s="59">
        <f t="shared" si="263"/>
        <v>58996861.140000001</v>
      </c>
      <c r="G82" s="59">
        <f t="shared" si="263"/>
        <v>42244838</v>
      </c>
      <c r="H82" s="59">
        <f t="shared" si="263"/>
        <v>44084321</v>
      </c>
      <c r="I82" s="59">
        <f>SUM(I76,I79)</f>
        <v>46423511</v>
      </c>
      <c r="J82" s="57">
        <v>27</v>
      </c>
      <c r="K82" s="58" t="s">
        <v>298</v>
      </c>
      <c r="L82" s="59">
        <f t="shared" ref="L82:Q82" si="264">SUM(L76,L79)</f>
        <v>48022903.25</v>
      </c>
      <c r="M82" s="59">
        <f t="shared" si="264"/>
        <v>51576700</v>
      </c>
      <c r="N82" s="59">
        <f t="shared" si="264"/>
        <v>53371605</v>
      </c>
      <c r="O82" s="59">
        <f t="shared" si="264"/>
        <v>55359600</v>
      </c>
      <c r="P82" s="59">
        <f t="shared" si="264"/>
        <v>57020400</v>
      </c>
      <c r="Q82" s="59">
        <f t="shared" si="264"/>
        <v>58731000</v>
      </c>
      <c r="R82" s="59">
        <f>SUM(R76,R79)</f>
        <v>60492900</v>
      </c>
      <c r="S82" s="57">
        <v>27</v>
      </c>
      <c r="T82" s="58" t="s">
        <v>298</v>
      </c>
      <c r="U82" s="59">
        <f t="shared" ref="U82:Z82" si="265">SUM(U76,U79)</f>
        <v>62060768</v>
      </c>
      <c r="V82" s="59">
        <f t="shared" si="265"/>
        <v>63475286</v>
      </c>
      <c r="W82" s="59">
        <f t="shared" si="265"/>
        <v>64922338</v>
      </c>
      <c r="X82" s="59">
        <f t="shared" si="265"/>
        <v>66402672</v>
      </c>
      <c r="Y82" s="59">
        <f t="shared" si="265"/>
        <v>67917053</v>
      </c>
      <c r="Z82" s="59">
        <f t="shared" si="265"/>
        <v>69398908</v>
      </c>
      <c r="AA82" s="59">
        <f>SUM(AA76,AA79)</f>
        <v>70913364</v>
      </c>
      <c r="AB82" s="57">
        <v>27</v>
      </c>
      <c r="AC82" s="58" t="s">
        <v>298</v>
      </c>
      <c r="AD82" s="59">
        <f t="shared" ref="AD82:AI82" si="266">SUM(AD76,AD79)</f>
        <v>72461138</v>
      </c>
      <c r="AE82" s="59">
        <f t="shared" si="266"/>
        <v>74042963</v>
      </c>
      <c r="AF82" s="59">
        <f t="shared" si="266"/>
        <v>75659588</v>
      </c>
      <c r="AG82" s="59">
        <f t="shared" si="266"/>
        <v>77236679</v>
      </c>
      <c r="AH82" s="59">
        <f t="shared" si="266"/>
        <v>78846889</v>
      </c>
      <c r="AI82" s="59">
        <f t="shared" si="266"/>
        <v>80490914</v>
      </c>
      <c r="AJ82" s="59">
        <f>SUM(AJ76,AJ79)</f>
        <v>82169463</v>
      </c>
      <c r="AK82" s="57">
        <v>27</v>
      </c>
      <c r="AL82" s="58" t="s">
        <v>298</v>
      </c>
      <c r="AM82" s="59">
        <f t="shared" ref="AM82:AR82" si="267">SUM(AM76,AM79)</f>
        <v>83883262</v>
      </c>
      <c r="AN82" s="59">
        <f t="shared" si="267"/>
        <v>85549727</v>
      </c>
      <c r="AO82" s="59">
        <f t="shared" si="267"/>
        <v>87249522</v>
      </c>
      <c r="AP82" s="59">
        <f t="shared" si="267"/>
        <v>88983312</v>
      </c>
      <c r="AQ82" s="59">
        <f t="shared" si="267"/>
        <v>90751778</v>
      </c>
      <c r="AR82" s="59">
        <f t="shared" si="267"/>
        <v>92555614</v>
      </c>
      <c r="AS82" s="59">
        <f>SUM(AS76,AS79)</f>
        <v>94395526</v>
      </c>
      <c r="AT82" s="57">
        <v>27</v>
      </c>
      <c r="AU82" s="58" t="s">
        <v>298</v>
      </c>
      <c r="AV82" s="59">
        <f t="shared" ref="AV82:AW82" si="268">SUM(AV76,AV79)</f>
        <v>96272237</v>
      </c>
      <c r="AW82" s="59">
        <f t="shared" si="268"/>
        <v>98186482</v>
      </c>
      <c r="AZ82" s="26"/>
    </row>
    <row r="83" spans="1:52" ht="12" customHeight="1">
      <c r="A83" s="60">
        <v>28</v>
      </c>
      <c r="B83" s="51" t="s">
        <v>299</v>
      </c>
      <c r="C83" s="53">
        <f>SUM(C81-C82)</f>
        <v>-2625469.1499999985</v>
      </c>
      <c r="D83" s="53">
        <f t="shared" ref="D83:H83" si="269">SUM(D81-D82)</f>
        <v>-940580.78999999911</v>
      </c>
      <c r="E83" s="53">
        <f t="shared" si="269"/>
        <v>4596400</v>
      </c>
      <c r="F83" s="53">
        <f t="shared" si="269"/>
        <v>4596400</v>
      </c>
      <c r="G83" s="53">
        <f t="shared" si="269"/>
        <v>5260929</v>
      </c>
      <c r="H83" s="53">
        <f t="shared" si="269"/>
        <v>4669329</v>
      </c>
      <c r="I83" s="53">
        <f>SUM(I81-I82)</f>
        <v>3762749</v>
      </c>
      <c r="J83" s="60">
        <v>28</v>
      </c>
      <c r="K83" s="51" t="s">
        <v>299</v>
      </c>
      <c r="L83" s="53">
        <f t="shared" ref="L83:Q83" si="270">SUM(L81-L82)</f>
        <v>2638996.75</v>
      </c>
      <c r="M83" s="53">
        <f t="shared" si="270"/>
        <v>605000</v>
      </c>
      <c r="N83" s="53">
        <f t="shared" si="270"/>
        <v>375595</v>
      </c>
      <c r="O83" s="53">
        <f t="shared" si="270"/>
        <v>0</v>
      </c>
      <c r="P83" s="53">
        <f t="shared" si="270"/>
        <v>0</v>
      </c>
      <c r="Q83" s="53">
        <f t="shared" si="270"/>
        <v>0</v>
      </c>
      <c r="R83" s="53">
        <f>SUM(R81-R82)</f>
        <v>0</v>
      </c>
      <c r="S83" s="60">
        <v>28</v>
      </c>
      <c r="T83" s="51" t="s">
        <v>299</v>
      </c>
      <c r="U83" s="53">
        <f t="shared" ref="U83:Z83" si="271">SUM(U81-U82)</f>
        <v>0</v>
      </c>
      <c r="V83" s="53">
        <f t="shared" si="271"/>
        <v>0</v>
      </c>
      <c r="W83" s="53">
        <f t="shared" si="271"/>
        <v>0</v>
      </c>
      <c r="X83" s="53">
        <f t="shared" si="271"/>
        <v>0</v>
      </c>
      <c r="Y83" s="53">
        <f t="shared" si="271"/>
        <v>0</v>
      </c>
      <c r="Z83" s="53">
        <f t="shared" si="271"/>
        <v>0</v>
      </c>
      <c r="AA83" s="53">
        <f>SUM(AA81-AA82)</f>
        <v>0</v>
      </c>
      <c r="AB83" s="60">
        <v>28</v>
      </c>
      <c r="AC83" s="51" t="s">
        <v>299</v>
      </c>
      <c r="AD83" s="53">
        <f t="shared" ref="AD83:AI83" si="272">SUM(AD81-AD82)</f>
        <v>0</v>
      </c>
      <c r="AE83" s="53">
        <f t="shared" si="272"/>
        <v>0</v>
      </c>
      <c r="AF83" s="53">
        <f t="shared" si="272"/>
        <v>0</v>
      </c>
      <c r="AG83" s="53">
        <f t="shared" si="272"/>
        <v>0</v>
      </c>
      <c r="AH83" s="53">
        <f t="shared" si="272"/>
        <v>0</v>
      </c>
      <c r="AI83" s="53">
        <f t="shared" si="272"/>
        <v>0</v>
      </c>
      <c r="AJ83" s="53">
        <f>SUM(AJ81-AJ82)</f>
        <v>0</v>
      </c>
      <c r="AK83" s="60">
        <v>28</v>
      </c>
      <c r="AL83" s="51" t="s">
        <v>299</v>
      </c>
      <c r="AM83" s="53">
        <f t="shared" ref="AM83:AR83" si="273">SUM(AM81-AM82)</f>
        <v>0</v>
      </c>
      <c r="AN83" s="53">
        <f t="shared" si="273"/>
        <v>0</v>
      </c>
      <c r="AO83" s="53">
        <f t="shared" si="273"/>
        <v>0</v>
      </c>
      <c r="AP83" s="53">
        <f t="shared" si="273"/>
        <v>0</v>
      </c>
      <c r="AQ83" s="53">
        <f t="shared" si="273"/>
        <v>0</v>
      </c>
      <c r="AR83" s="53">
        <f t="shared" si="273"/>
        <v>0</v>
      </c>
      <c r="AS83" s="53">
        <f>SUM(AS81-AS82)</f>
        <v>0</v>
      </c>
      <c r="AT83" s="60">
        <v>28</v>
      </c>
      <c r="AU83" s="51" t="s">
        <v>299</v>
      </c>
      <c r="AV83" s="53">
        <f t="shared" ref="AV83:AW83" si="274">SUM(AV81-AV82)</f>
        <v>0</v>
      </c>
      <c r="AW83" s="53">
        <f t="shared" si="274"/>
        <v>0</v>
      </c>
    </row>
    <row r="84" spans="1:52" ht="12" customHeight="1">
      <c r="A84" s="74">
        <v>29</v>
      </c>
      <c r="B84" s="75" t="s">
        <v>300</v>
      </c>
      <c r="C84" s="76">
        <f>SUM(C22,C24,C26,C42)</f>
        <v>9081795.8499999996</v>
      </c>
      <c r="D84" s="76">
        <f t="shared" ref="D84:I84" si="275">SUM(D22,D24,D26,D42)</f>
        <v>5473880.7000000002</v>
      </c>
      <c r="E84" s="76">
        <f t="shared" si="275"/>
        <v>2</v>
      </c>
      <c r="F84" s="76">
        <f t="shared" si="275"/>
        <v>2</v>
      </c>
      <c r="G84" s="76">
        <f t="shared" si="275"/>
        <v>0</v>
      </c>
      <c r="H84" s="76">
        <f t="shared" si="275"/>
        <v>0</v>
      </c>
      <c r="I84" s="76">
        <f t="shared" si="275"/>
        <v>0</v>
      </c>
      <c r="J84" s="74">
        <v>29</v>
      </c>
      <c r="K84" s="75" t="s">
        <v>300</v>
      </c>
      <c r="L84" s="76">
        <f t="shared" ref="L84:R84" si="276">SUM(L22,L24,L26,L42)</f>
        <v>0</v>
      </c>
      <c r="M84" s="76">
        <f t="shared" si="276"/>
        <v>0</v>
      </c>
      <c r="N84" s="76">
        <f t="shared" si="276"/>
        <v>0</v>
      </c>
      <c r="O84" s="76">
        <f t="shared" si="276"/>
        <v>0</v>
      </c>
      <c r="P84" s="76">
        <f t="shared" si="276"/>
        <v>0</v>
      </c>
      <c r="Q84" s="76">
        <f t="shared" si="276"/>
        <v>0</v>
      </c>
      <c r="R84" s="76">
        <f t="shared" si="276"/>
        <v>0</v>
      </c>
      <c r="S84" s="74">
        <v>29</v>
      </c>
      <c r="T84" s="75" t="s">
        <v>300</v>
      </c>
      <c r="U84" s="76">
        <f t="shared" ref="U84:AA84" si="277">SUM(U22,U24,U26,U42)</f>
        <v>0</v>
      </c>
      <c r="V84" s="76">
        <f t="shared" si="277"/>
        <v>0</v>
      </c>
      <c r="W84" s="76">
        <f t="shared" si="277"/>
        <v>0</v>
      </c>
      <c r="X84" s="76">
        <f t="shared" si="277"/>
        <v>0</v>
      </c>
      <c r="Y84" s="76">
        <f t="shared" si="277"/>
        <v>0</v>
      </c>
      <c r="Z84" s="76">
        <f t="shared" si="277"/>
        <v>0</v>
      </c>
      <c r="AA84" s="76">
        <f t="shared" si="277"/>
        <v>0</v>
      </c>
      <c r="AB84" s="74">
        <v>29</v>
      </c>
      <c r="AC84" s="75" t="s">
        <v>300</v>
      </c>
      <c r="AD84" s="76">
        <f t="shared" ref="AD84:AJ84" si="278">SUM(AD22,AD24,AD26,AD42)</f>
        <v>0</v>
      </c>
      <c r="AE84" s="76">
        <f t="shared" si="278"/>
        <v>0</v>
      </c>
      <c r="AF84" s="76">
        <f t="shared" si="278"/>
        <v>0</v>
      </c>
      <c r="AG84" s="76">
        <f t="shared" si="278"/>
        <v>0</v>
      </c>
      <c r="AH84" s="76">
        <f t="shared" si="278"/>
        <v>0</v>
      </c>
      <c r="AI84" s="76">
        <f t="shared" si="278"/>
        <v>0</v>
      </c>
      <c r="AJ84" s="76">
        <f t="shared" si="278"/>
        <v>0</v>
      </c>
      <c r="AK84" s="74">
        <v>29</v>
      </c>
      <c r="AL84" s="75" t="s">
        <v>300</v>
      </c>
      <c r="AM84" s="76">
        <f t="shared" ref="AM84:AS84" si="279">SUM(AM22,AM24,AM26,AM42)</f>
        <v>0</v>
      </c>
      <c r="AN84" s="76">
        <f t="shared" si="279"/>
        <v>0</v>
      </c>
      <c r="AO84" s="76">
        <f t="shared" si="279"/>
        <v>0</v>
      </c>
      <c r="AP84" s="76">
        <f t="shared" si="279"/>
        <v>0</v>
      </c>
      <c r="AQ84" s="76">
        <f t="shared" si="279"/>
        <v>0</v>
      </c>
      <c r="AR84" s="76">
        <f t="shared" si="279"/>
        <v>0</v>
      </c>
      <c r="AS84" s="76">
        <f t="shared" si="279"/>
        <v>0</v>
      </c>
      <c r="AT84" s="74">
        <v>29</v>
      </c>
      <c r="AU84" s="75" t="s">
        <v>300</v>
      </c>
      <c r="AV84" s="76">
        <f t="shared" ref="AV84:AW84" si="280">SUM(AV22,AV24,AV26,AV42)</f>
        <v>0</v>
      </c>
      <c r="AW84" s="76">
        <f t="shared" si="280"/>
        <v>0</v>
      </c>
      <c r="AZ84" s="26"/>
    </row>
    <row r="85" spans="1:52" ht="13.5" customHeight="1">
      <c r="A85" s="60">
        <v>30</v>
      </c>
      <c r="B85" s="77" t="s">
        <v>88</v>
      </c>
      <c r="C85" s="53">
        <f>SUM(C30,C34)</f>
        <v>3684041</v>
      </c>
      <c r="D85" s="53">
        <f t="shared" ref="D85:H85" si="281">SUM(D30,D34)</f>
        <v>4533297.59</v>
      </c>
      <c r="E85" s="53">
        <f t="shared" si="281"/>
        <v>4596402</v>
      </c>
      <c r="F85" s="53">
        <f t="shared" si="281"/>
        <v>4596402</v>
      </c>
      <c r="G85" s="53">
        <f t="shared" si="281"/>
        <v>5260929</v>
      </c>
      <c r="H85" s="53">
        <f t="shared" si="281"/>
        <v>4669329</v>
      </c>
      <c r="I85" s="53">
        <f>SUM(I30,I34)</f>
        <v>3762749</v>
      </c>
      <c r="J85" s="60">
        <v>30</v>
      </c>
      <c r="K85" s="77" t="s">
        <v>88</v>
      </c>
      <c r="L85" s="53">
        <f t="shared" ref="L85:Q85" si="282">SUM(L30,L34)</f>
        <v>2638996.75</v>
      </c>
      <c r="M85" s="53">
        <f t="shared" si="282"/>
        <v>605000</v>
      </c>
      <c r="N85" s="53">
        <f t="shared" si="282"/>
        <v>375595</v>
      </c>
      <c r="O85" s="53">
        <f t="shared" si="282"/>
        <v>0</v>
      </c>
      <c r="P85" s="53">
        <f t="shared" si="282"/>
        <v>0</v>
      </c>
      <c r="Q85" s="53">
        <f t="shared" si="282"/>
        <v>0</v>
      </c>
      <c r="R85" s="53">
        <f>SUM(R30,R34)</f>
        <v>0</v>
      </c>
      <c r="S85" s="60">
        <v>30</v>
      </c>
      <c r="T85" s="77" t="s">
        <v>88</v>
      </c>
      <c r="U85" s="53">
        <f t="shared" ref="U85:Z85" si="283">SUM(U30,U34)</f>
        <v>0</v>
      </c>
      <c r="V85" s="53">
        <f t="shared" si="283"/>
        <v>0</v>
      </c>
      <c r="W85" s="53">
        <f t="shared" si="283"/>
        <v>0</v>
      </c>
      <c r="X85" s="53">
        <f t="shared" si="283"/>
        <v>0</v>
      </c>
      <c r="Y85" s="53">
        <f t="shared" si="283"/>
        <v>0</v>
      </c>
      <c r="Z85" s="53">
        <f t="shared" si="283"/>
        <v>0</v>
      </c>
      <c r="AA85" s="53">
        <f>SUM(AA30,AA34)</f>
        <v>0</v>
      </c>
      <c r="AB85" s="60">
        <v>30</v>
      </c>
      <c r="AC85" s="77" t="s">
        <v>88</v>
      </c>
      <c r="AD85" s="53">
        <f t="shared" ref="AD85:AI85" si="284">SUM(AD30,AD34)</f>
        <v>0</v>
      </c>
      <c r="AE85" s="53">
        <f t="shared" si="284"/>
        <v>0</v>
      </c>
      <c r="AF85" s="53">
        <f t="shared" si="284"/>
        <v>0</v>
      </c>
      <c r="AG85" s="53">
        <f t="shared" si="284"/>
        <v>0</v>
      </c>
      <c r="AH85" s="53">
        <f t="shared" si="284"/>
        <v>0</v>
      </c>
      <c r="AI85" s="53">
        <f t="shared" si="284"/>
        <v>0</v>
      </c>
      <c r="AJ85" s="53">
        <f>SUM(AJ30,AJ34)</f>
        <v>0</v>
      </c>
      <c r="AK85" s="60">
        <v>30</v>
      </c>
      <c r="AL85" s="77" t="s">
        <v>88</v>
      </c>
      <c r="AM85" s="53">
        <f t="shared" ref="AM85:AR85" si="285">SUM(AM30,AM34)</f>
        <v>0</v>
      </c>
      <c r="AN85" s="53">
        <f t="shared" si="285"/>
        <v>0</v>
      </c>
      <c r="AO85" s="53">
        <f t="shared" si="285"/>
        <v>0</v>
      </c>
      <c r="AP85" s="53">
        <f t="shared" si="285"/>
        <v>0</v>
      </c>
      <c r="AQ85" s="53">
        <f t="shared" si="285"/>
        <v>0</v>
      </c>
      <c r="AR85" s="53">
        <f t="shared" si="285"/>
        <v>0</v>
      </c>
      <c r="AS85" s="53">
        <f>SUM(AS30,AS34)</f>
        <v>0</v>
      </c>
      <c r="AT85" s="60">
        <v>30</v>
      </c>
      <c r="AU85" s="77" t="s">
        <v>88</v>
      </c>
      <c r="AV85" s="53">
        <f t="shared" ref="AV85:AW85" si="286">SUM(AV30,AV34)</f>
        <v>0</v>
      </c>
      <c r="AW85" s="53">
        <f t="shared" si="286"/>
        <v>0</v>
      </c>
      <c r="AZ85" s="27"/>
    </row>
  </sheetData>
  <mergeCells count="18">
    <mergeCell ref="A1:C2"/>
    <mergeCell ref="A35:I35"/>
    <mergeCell ref="J1:R1"/>
    <mergeCell ref="S1:AA1"/>
    <mergeCell ref="AB1:AJ1"/>
    <mergeCell ref="AK1:AS1"/>
    <mergeCell ref="AT1:BC1"/>
    <mergeCell ref="J35:R35"/>
    <mergeCell ref="S35:AA35"/>
    <mergeCell ref="AB35:AJ35"/>
    <mergeCell ref="AK35:AS35"/>
    <mergeCell ref="AT35:BC35"/>
    <mergeCell ref="AT63:BC63"/>
    <mergeCell ref="A63:I63"/>
    <mergeCell ref="J63:R63"/>
    <mergeCell ref="S63:AA63"/>
    <mergeCell ref="AB63:AJ63"/>
    <mergeCell ref="AK63:AS63"/>
  </mergeCells>
  <pageMargins left="0.16" right="0.17" top="0.56999999999999995" bottom="0.53" header="0.22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4"/>
  <sheetViews>
    <sheetView workbookViewId="0">
      <selection activeCell="F16" sqref="F16"/>
    </sheetView>
  </sheetViews>
  <sheetFormatPr defaultRowHeight="14.25"/>
  <cols>
    <col min="1" max="1" width="45.625" style="99" customWidth="1"/>
    <col min="2" max="2" width="13.25" style="89" customWidth="1"/>
    <col min="3" max="4" width="4.625" style="99" customWidth="1"/>
    <col min="5" max="5" width="10.75" style="99" customWidth="1"/>
    <col min="6" max="11" width="8.75" style="99" customWidth="1"/>
    <col min="12" max="12" width="45.625" style="99" customWidth="1"/>
    <col min="13" max="13" width="13.25" style="89" customWidth="1"/>
    <col min="14" max="15" width="4.625" style="99" customWidth="1"/>
    <col min="16" max="22" width="8.75" style="99" customWidth="1"/>
    <col min="23" max="23" width="45.625" style="99" customWidth="1"/>
    <col min="24" max="24" width="13.25" style="89" customWidth="1"/>
    <col min="25" max="26" width="4.625" style="99" customWidth="1"/>
    <col min="27" max="33" width="8.75" style="99" customWidth="1"/>
    <col min="34" max="34" width="45.625" style="99" customWidth="1"/>
    <col min="35" max="35" width="13.25" style="89" customWidth="1"/>
    <col min="36" max="37" width="4.625" style="99" customWidth="1"/>
    <col min="38" max="43" width="8.75" style="99" customWidth="1"/>
    <col min="44" max="44" width="7.75" style="99" customWidth="1"/>
    <col min="45" max="45" width="45.625" style="99" customWidth="1"/>
    <col min="46" max="46" width="13.25" style="89" customWidth="1"/>
    <col min="47" max="48" width="4.625" style="99" customWidth="1"/>
    <col min="49" max="54" width="7.75" style="99" customWidth="1"/>
    <col min="55" max="55" width="9.375" style="99" customWidth="1"/>
    <col min="56" max="16384" width="9" style="99"/>
  </cols>
  <sheetData>
    <row r="1" spans="1:58">
      <c r="K1" s="239" t="s">
        <v>302</v>
      </c>
    </row>
    <row r="2" spans="1:58" ht="15.75">
      <c r="A2" s="84" t="s">
        <v>138</v>
      </c>
      <c r="C2" s="89"/>
      <c r="D2" s="89"/>
      <c r="K2" s="239" t="s">
        <v>239</v>
      </c>
      <c r="L2" s="105"/>
      <c r="M2" s="108"/>
      <c r="W2" s="105"/>
      <c r="X2" s="108"/>
      <c r="AH2" s="105"/>
      <c r="AI2" s="108"/>
      <c r="AS2" s="105"/>
      <c r="AT2" s="108"/>
      <c r="BD2" s="98"/>
    </row>
    <row r="3" spans="1:58" s="120" customFormat="1">
      <c r="A3" s="119"/>
      <c r="B3" s="119"/>
      <c r="C3" s="119"/>
      <c r="D3" s="119"/>
      <c r="K3" s="134"/>
      <c r="L3" s="262" t="s">
        <v>139</v>
      </c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2" t="s">
        <v>140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2" t="s">
        <v>141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2" t="s">
        <v>142</v>
      </c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121"/>
      <c r="BE3" s="131"/>
      <c r="BF3" s="131"/>
    </row>
    <row r="4" spans="1:58" s="86" customFormat="1" ht="12.75" customHeight="1">
      <c r="A4" s="257" t="s">
        <v>143</v>
      </c>
      <c r="B4" s="259" t="s">
        <v>144</v>
      </c>
      <c r="C4" s="261" t="s">
        <v>145</v>
      </c>
      <c r="D4" s="261"/>
      <c r="E4" s="275" t="s">
        <v>146</v>
      </c>
      <c r="F4" s="265" t="s">
        <v>147</v>
      </c>
      <c r="G4" s="265" t="s">
        <v>148</v>
      </c>
      <c r="H4" s="265" t="s">
        <v>149</v>
      </c>
      <c r="I4" s="265" t="s">
        <v>150</v>
      </c>
      <c r="J4" s="265" t="s">
        <v>151</v>
      </c>
      <c r="K4" s="267" t="s">
        <v>152</v>
      </c>
      <c r="L4" s="269" t="s">
        <v>143</v>
      </c>
      <c r="M4" s="259" t="s">
        <v>144</v>
      </c>
      <c r="N4" s="261" t="s">
        <v>145</v>
      </c>
      <c r="O4" s="261"/>
      <c r="P4" s="265" t="s">
        <v>153</v>
      </c>
      <c r="Q4" s="265" t="s">
        <v>154</v>
      </c>
      <c r="R4" s="265" t="s">
        <v>155</v>
      </c>
      <c r="S4" s="265" t="s">
        <v>156</v>
      </c>
      <c r="T4" s="265" t="s">
        <v>157</v>
      </c>
      <c r="U4" s="265" t="s">
        <v>158</v>
      </c>
      <c r="V4" s="271" t="s">
        <v>159</v>
      </c>
      <c r="W4" s="257" t="s">
        <v>143</v>
      </c>
      <c r="X4" s="259" t="s">
        <v>144</v>
      </c>
      <c r="Y4" s="261" t="s">
        <v>145</v>
      </c>
      <c r="Z4" s="261"/>
      <c r="AA4" s="273" t="s">
        <v>160</v>
      </c>
      <c r="AB4" s="265" t="s">
        <v>161</v>
      </c>
      <c r="AC4" s="265" t="s">
        <v>162</v>
      </c>
      <c r="AD4" s="265" t="s">
        <v>163</v>
      </c>
      <c r="AE4" s="265" t="s">
        <v>164</v>
      </c>
      <c r="AF4" s="265" t="s">
        <v>165</v>
      </c>
      <c r="AG4" s="267" t="s">
        <v>166</v>
      </c>
      <c r="AH4" s="269" t="s">
        <v>143</v>
      </c>
      <c r="AI4" s="259" t="s">
        <v>144</v>
      </c>
      <c r="AJ4" s="261" t="s">
        <v>145</v>
      </c>
      <c r="AK4" s="261"/>
      <c r="AL4" s="273" t="s">
        <v>167</v>
      </c>
      <c r="AM4" s="273" t="s">
        <v>168</v>
      </c>
      <c r="AN4" s="265" t="s">
        <v>169</v>
      </c>
      <c r="AO4" s="265" t="s">
        <v>170</v>
      </c>
      <c r="AP4" s="265" t="s">
        <v>171</v>
      </c>
      <c r="AQ4" s="265" t="s">
        <v>172</v>
      </c>
      <c r="AR4" s="267" t="s">
        <v>173</v>
      </c>
      <c r="AS4" s="269" t="s">
        <v>143</v>
      </c>
      <c r="AT4" s="259" t="s">
        <v>144</v>
      </c>
      <c r="AU4" s="261" t="s">
        <v>145</v>
      </c>
      <c r="AV4" s="261"/>
      <c r="AW4" s="265" t="s">
        <v>174</v>
      </c>
      <c r="AX4" s="273" t="s">
        <v>175</v>
      </c>
      <c r="AY4" s="273" t="s">
        <v>176</v>
      </c>
      <c r="AZ4" s="265" t="s">
        <v>177</v>
      </c>
      <c r="BA4" s="265" t="s">
        <v>178</v>
      </c>
      <c r="BB4" s="265" t="s">
        <v>179</v>
      </c>
      <c r="BC4" s="277" t="s">
        <v>180</v>
      </c>
      <c r="BD4" s="85"/>
    </row>
    <row r="5" spans="1:58" s="89" customFormat="1" ht="23.25" customHeight="1">
      <c r="A5" s="258"/>
      <c r="B5" s="260"/>
      <c r="C5" s="87" t="s">
        <v>181</v>
      </c>
      <c r="D5" s="87" t="s">
        <v>182</v>
      </c>
      <c r="E5" s="276"/>
      <c r="F5" s="266"/>
      <c r="G5" s="266"/>
      <c r="H5" s="266"/>
      <c r="I5" s="266"/>
      <c r="J5" s="266"/>
      <c r="K5" s="268"/>
      <c r="L5" s="270"/>
      <c r="M5" s="260"/>
      <c r="N5" s="87" t="s">
        <v>181</v>
      </c>
      <c r="O5" s="87" t="s">
        <v>182</v>
      </c>
      <c r="P5" s="266"/>
      <c r="Q5" s="266"/>
      <c r="R5" s="266"/>
      <c r="S5" s="266"/>
      <c r="T5" s="266"/>
      <c r="U5" s="266"/>
      <c r="V5" s="272"/>
      <c r="W5" s="258"/>
      <c r="X5" s="260"/>
      <c r="Y5" s="87" t="s">
        <v>181</v>
      </c>
      <c r="Z5" s="87" t="s">
        <v>182</v>
      </c>
      <c r="AA5" s="274"/>
      <c r="AB5" s="266"/>
      <c r="AC5" s="266"/>
      <c r="AD5" s="266"/>
      <c r="AE5" s="266"/>
      <c r="AF5" s="266"/>
      <c r="AG5" s="268"/>
      <c r="AH5" s="270"/>
      <c r="AI5" s="260"/>
      <c r="AJ5" s="87" t="s">
        <v>181</v>
      </c>
      <c r="AK5" s="87" t="s">
        <v>182</v>
      </c>
      <c r="AL5" s="274"/>
      <c r="AM5" s="274"/>
      <c r="AN5" s="266"/>
      <c r="AO5" s="266"/>
      <c r="AP5" s="266"/>
      <c r="AQ5" s="266"/>
      <c r="AR5" s="268"/>
      <c r="AS5" s="270"/>
      <c r="AT5" s="260"/>
      <c r="AU5" s="87" t="s">
        <v>181</v>
      </c>
      <c r="AV5" s="87" t="s">
        <v>182</v>
      </c>
      <c r="AW5" s="266"/>
      <c r="AX5" s="274"/>
      <c r="AY5" s="274"/>
      <c r="AZ5" s="266"/>
      <c r="BA5" s="266"/>
      <c r="BB5" s="266"/>
      <c r="BC5" s="278"/>
      <c r="BD5" s="88"/>
    </row>
    <row r="6" spans="1:58" s="94" customFormat="1" ht="16.5" customHeight="1">
      <c r="A6" s="172" t="s">
        <v>183</v>
      </c>
      <c r="B6" s="173"/>
      <c r="C6" s="173"/>
      <c r="D6" s="166"/>
      <c r="E6" s="136">
        <f t="shared" ref="E6:J6" si="0">+E7+E8</f>
        <v>20150093</v>
      </c>
      <c r="F6" s="136">
        <f>SUM(F7,F8)</f>
        <v>1681936</v>
      </c>
      <c r="G6" s="136">
        <f t="shared" si="0"/>
        <v>1426000</v>
      </c>
      <c r="H6" s="136">
        <f t="shared" si="0"/>
        <v>1071700</v>
      </c>
      <c r="I6" s="136">
        <f t="shared" si="0"/>
        <v>1071600</v>
      </c>
      <c r="J6" s="187">
        <f t="shared" si="0"/>
        <v>1071300</v>
      </c>
      <c r="K6" s="137">
        <f>+K7+K8</f>
        <v>1070800</v>
      </c>
      <c r="L6" s="190" t="s">
        <v>183</v>
      </c>
      <c r="M6" s="173"/>
      <c r="N6" s="173"/>
      <c r="O6" s="166"/>
      <c r="P6" s="136">
        <f t="shared" ref="P6:T6" si="1">+P7+P8</f>
        <v>1070200</v>
      </c>
      <c r="Q6" s="136">
        <f t="shared" si="1"/>
        <v>1069600</v>
      </c>
      <c r="R6" s="136">
        <f t="shared" si="1"/>
        <v>1069000</v>
      </c>
      <c r="S6" s="136">
        <f t="shared" si="1"/>
        <v>1068100</v>
      </c>
      <c r="T6" s="136">
        <f t="shared" si="1"/>
        <v>1067300</v>
      </c>
      <c r="U6" s="187">
        <f>+U7+U8</f>
        <v>1066300</v>
      </c>
      <c r="V6" s="203">
        <f>+V7+V8</f>
        <v>1065300</v>
      </c>
      <c r="W6" s="172" t="s">
        <v>183</v>
      </c>
      <c r="X6" s="173"/>
      <c r="Y6" s="173"/>
      <c r="Z6" s="166"/>
      <c r="AA6" s="136">
        <f>+AA7+AA8</f>
        <v>1064300</v>
      </c>
      <c r="AB6" s="136">
        <f t="shared" ref="AB6:AD6" si="2">+AB7+AB8</f>
        <v>1063200</v>
      </c>
      <c r="AC6" s="136">
        <f t="shared" si="2"/>
        <v>19600</v>
      </c>
      <c r="AD6" s="136">
        <f t="shared" si="2"/>
        <v>18700</v>
      </c>
      <c r="AE6" s="136">
        <f>+AE7+AE8</f>
        <v>17900</v>
      </c>
      <c r="AF6" s="187">
        <f>+AF7+AF8</f>
        <v>17100</v>
      </c>
      <c r="AG6" s="137">
        <f>+AG7+AG8</f>
        <v>16200</v>
      </c>
      <c r="AH6" s="190" t="s">
        <v>183</v>
      </c>
      <c r="AI6" s="173"/>
      <c r="AJ6" s="173"/>
      <c r="AK6" s="166"/>
      <c r="AL6" s="136">
        <f>+AL7+AL8</f>
        <v>15400</v>
      </c>
      <c r="AM6" s="136">
        <f>+AM7+AM8</f>
        <v>14857</v>
      </c>
      <c r="AN6" s="136">
        <f t="shared" ref="AN6:AW6" si="3">+AN7+AN8</f>
        <v>14200</v>
      </c>
      <c r="AO6" s="136">
        <f>+AO7+AO8</f>
        <v>12200</v>
      </c>
      <c r="AP6" s="136">
        <f>+AP7+AP8</f>
        <v>11700</v>
      </c>
      <c r="AQ6" s="187">
        <f>+AQ7+AQ8</f>
        <v>11300</v>
      </c>
      <c r="AR6" s="137">
        <f>+AR7+AR8</f>
        <v>11200</v>
      </c>
      <c r="AS6" s="190" t="s">
        <v>183</v>
      </c>
      <c r="AT6" s="173"/>
      <c r="AU6" s="173"/>
      <c r="AV6" s="166"/>
      <c r="AW6" s="136">
        <f t="shared" si="3"/>
        <v>11200</v>
      </c>
      <c r="AX6" s="136">
        <f>+AX7+AX8</f>
        <v>11000</v>
      </c>
      <c r="AY6" s="136">
        <f>+AY7+AY8</f>
        <v>11000</v>
      </c>
      <c r="AZ6" s="136">
        <f>+AZ7+AZ8</f>
        <v>10067</v>
      </c>
      <c r="BA6" s="136">
        <f>+BA7+BA8</f>
        <v>10000</v>
      </c>
      <c r="BB6" s="136">
        <f>+BB7+BB8</f>
        <v>10000</v>
      </c>
      <c r="BC6" s="238">
        <f>SUM(BC7,BC8)</f>
        <v>0</v>
      </c>
      <c r="BD6" s="240"/>
      <c r="BE6" s="199"/>
    </row>
    <row r="7" spans="1:58" s="91" customFormat="1" ht="16.5" customHeight="1">
      <c r="A7" s="280" t="s">
        <v>184</v>
      </c>
      <c r="B7" s="280"/>
      <c r="C7" s="280"/>
      <c r="D7" s="280"/>
      <c r="E7" s="129">
        <f t="shared" ref="E7:K7" si="4">+E10+E20+E36</f>
        <v>2131014</v>
      </c>
      <c r="F7" s="129">
        <f t="shared" si="4"/>
        <v>630336</v>
      </c>
      <c r="G7" s="129">
        <f t="shared" si="4"/>
        <v>383400</v>
      </c>
      <c r="H7" s="129">
        <f t="shared" si="4"/>
        <v>29100</v>
      </c>
      <c r="I7" s="129">
        <f t="shared" si="4"/>
        <v>29000</v>
      </c>
      <c r="J7" s="188">
        <f t="shared" si="4"/>
        <v>28700</v>
      </c>
      <c r="K7" s="130">
        <f t="shared" si="4"/>
        <v>28200</v>
      </c>
      <c r="L7" s="279" t="s">
        <v>184</v>
      </c>
      <c r="M7" s="280"/>
      <c r="N7" s="280"/>
      <c r="O7" s="280"/>
      <c r="P7" s="129">
        <f t="shared" ref="P7:V7" si="5">+P10+P20+P36</f>
        <v>27600</v>
      </c>
      <c r="Q7" s="129">
        <f t="shared" si="5"/>
        <v>27000</v>
      </c>
      <c r="R7" s="129">
        <f t="shared" si="5"/>
        <v>26400</v>
      </c>
      <c r="S7" s="129">
        <f t="shared" si="5"/>
        <v>25500</v>
      </c>
      <c r="T7" s="129">
        <f t="shared" si="5"/>
        <v>24700</v>
      </c>
      <c r="U7" s="188">
        <f t="shared" si="5"/>
        <v>23700</v>
      </c>
      <c r="V7" s="107">
        <f t="shared" si="5"/>
        <v>22700</v>
      </c>
      <c r="W7" s="280" t="s">
        <v>184</v>
      </c>
      <c r="X7" s="280"/>
      <c r="Y7" s="280"/>
      <c r="Z7" s="280"/>
      <c r="AA7" s="129">
        <f t="shared" ref="AA7:AG7" si="6">+AA10+AA20+AA36</f>
        <v>21700</v>
      </c>
      <c r="AB7" s="129">
        <f t="shared" si="6"/>
        <v>20600</v>
      </c>
      <c r="AC7" s="129">
        <f t="shared" si="6"/>
        <v>19600</v>
      </c>
      <c r="AD7" s="129">
        <f t="shared" si="6"/>
        <v>18700</v>
      </c>
      <c r="AE7" s="129">
        <f t="shared" si="6"/>
        <v>17900</v>
      </c>
      <c r="AF7" s="188">
        <f t="shared" si="6"/>
        <v>17100</v>
      </c>
      <c r="AG7" s="130">
        <f t="shared" si="6"/>
        <v>16200</v>
      </c>
      <c r="AH7" s="279" t="s">
        <v>184</v>
      </c>
      <c r="AI7" s="280"/>
      <c r="AJ7" s="280"/>
      <c r="AK7" s="280"/>
      <c r="AL7" s="129">
        <f t="shared" ref="AL7:AR7" si="7">+AL10+AL20+AL36</f>
        <v>15400</v>
      </c>
      <c r="AM7" s="129">
        <f t="shared" si="7"/>
        <v>14857</v>
      </c>
      <c r="AN7" s="129">
        <f t="shared" si="7"/>
        <v>14200</v>
      </c>
      <c r="AO7" s="129">
        <f t="shared" si="7"/>
        <v>12200</v>
      </c>
      <c r="AP7" s="129">
        <f t="shared" si="7"/>
        <v>11700</v>
      </c>
      <c r="AQ7" s="188">
        <f t="shared" si="7"/>
        <v>11300</v>
      </c>
      <c r="AR7" s="130">
        <f t="shared" si="7"/>
        <v>11200</v>
      </c>
      <c r="AS7" s="279" t="s">
        <v>184</v>
      </c>
      <c r="AT7" s="280"/>
      <c r="AU7" s="280"/>
      <c r="AV7" s="280"/>
      <c r="AW7" s="129">
        <f t="shared" ref="AW7:BB7" si="8">+AW10+AW20+AW36</f>
        <v>11200</v>
      </c>
      <c r="AX7" s="129">
        <f t="shared" si="8"/>
        <v>11000</v>
      </c>
      <c r="AY7" s="129">
        <f t="shared" si="8"/>
        <v>11000</v>
      </c>
      <c r="AZ7" s="129">
        <f t="shared" si="8"/>
        <v>10067</v>
      </c>
      <c r="BA7" s="129">
        <f t="shared" si="8"/>
        <v>10000</v>
      </c>
      <c r="BB7" s="129">
        <f t="shared" si="8"/>
        <v>10000</v>
      </c>
      <c r="BC7" s="122">
        <f>SUM(BC10,BC20,BC36)</f>
        <v>0</v>
      </c>
      <c r="BD7" s="240"/>
    </row>
    <row r="8" spans="1:58" s="91" customFormat="1" ht="16.5" customHeight="1">
      <c r="A8" s="174" t="s">
        <v>185</v>
      </c>
      <c r="B8" s="176"/>
      <c r="C8" s="176"/>
      <c r="D8" s="176"/>
      <c r="E8" s="129">
        <f>+E11+E33</f>
        <v>18019079</v>
      </c>
      <c r="F8" s="129">
        <f>SUM(F11,F33)</f>
        <v>1051600</v>
      </c>
      <c r="G8" s="129">
        <f>+G11+G33</f>
        <v>1042600</v>
      </c>
      <c r="H8" s="129">
        <f>+H11+H33</f>
        <v>1042600</v>
      </c>
      <c r="I8" s="129">
        <f>+I11+I33</f>
        <v>1042600</v>
      </c>
      <c r="J8" s="188">
        <f>+J11+J33</f>
        <v>1042600</v>
      </c>
      <c r="K8" s="130">
        <f>+K11+K33</f>
        <v>1042600</v>
      </c>
      <c r="L8" s="191" t="s">
        <v>185</v>
      </c>
      <c r="M8" s="176"/>
      <c r="N8" s="176"/>
      <c r="O8" s="176"/>
      <c r="P8" s="129">
        <f t="shared" ref="P8:V8" si="9">+P11+P33</f>
        <v>1042600</v>
      </c>
      <c r="Q8" s="129">
        <f t="shared" si="9"/>
        <v>1042600</v>
      </c>
      <c r="R8" s="129">
        <f t="shared" si="9"/>
        <v>1042600</v>
      </c>
      <c r="S8" s="129">
        <f t="shared" si="9"/>
        <v>1042600</v>
      </c>
      <c r="T8" s="129">
        <f t="shared" si="9"/>
        <v>1042600</v>
      </c>
      <c r="U8" s="188">
        <f t="shared" si="9"/>
        <v>1042600</v>
      </c>
      <c r="V8" s="107">
        <f t="shared" si="9"/>
        <v>1042600</v>
      </c>
      <c r="W8" s="174" t="s">
        <v>185</v>
      </c>
      <c r="X8" s="176"/>
      <c r="Y8" s="176"/>
      <c r="Z8" s="176"/>
      <c r="AA8" s="129">
        <f t="shared" ref="AA8:AG8" si="10">+AA11+AA33</f>
        <v>1042600</v>
      </c>
      <c r="AB8" s="129">
        <f t="shared" si="10"/>
        <v>1042600</v>
      </c>
      <c r="AC8" s="129">
        <f t="shared" si="10"/>
        <v>0</v>
      </c>
      <c r="AD8" s="129">
        <f t="shared" si="10"/>
        <v>0</v>
      </c>
      <c r="AE8" s="129">
        <f t="shared" si="10"/>
        <v>0</v>
      </c>
      <c r="AF8" s="188">
        <f t="shared" si="10"/>
        <v>0</v>
      </c>
      <c r="AG8" s="130">
        <f t="shared" si="10"/>
        <v>0</v>
      </c>
      <c r="AH8" s="191" t="s">
        <v>185</v>
      </c>
      <c r="AI8" s="176"/>
      <c r="AJ8" s="176"/>
      <c r="AK8" s="176"/>
      <c r="AL8" s="129">
        <f t="shared" ref="AL8:AR8" si="11">+AL11+AL33</f>
        <v>0</v>
      </c>
      <c r="AM8" s="129">
        <f t="shared" si="11"/>
        <v>0</v>
      </c>
      <c r="AN8" s="129">
        <f t="shared" si="11"/>
        <v>0</v>
      </c>
      <c r="AO8" s="129">
        <f t="shared" si="11"/>
        <v>0</v>
      </c>
      <c r="AP8" s="129">
        <f t="shared" si="11"/>
        <v>0</v>
      </c>
      <c r="AQ8" s="188">
        <f t="shared" si="11"/>
        <v>0</v>
      </c>
      <c r="AR8" s="130">
        <f t="shared" si="11"/>
        <v>0</v>
      </c>
      <c r="AS8" s="191" t="s">
        <v>185</v>
      </c>
      <c r="AT8" s="176"/>
      <c r="AU8" s="176"/>
      <c r="AV8" s="176"/>
      <c r="AW8" s="129">
        <f t="shared" ref="AW8:BB8" si="12">+AW11+AW33</f>
        <v>0</v>
      </c>
      <c r="AX8" s="129">
        <f t="shared" si="12"/>
        <v>0</v>
      </c>
      <c r="AY8" s="129">
        <f t="shared" si="12"/>
        <v>0</v>
      </c>
      <c r="AZ8" s="129">
        <f t="shared" si="12"/>
        <v>0</v>
      </c>
      <c r="BA8" s="129">
        <f t="shared" si="12"/>
        <v>0</v>
      </c>
      <c r="BB8" s="129">
        <f t="shared" si="12"/>
        <v>0</v>
      </c>
      <c r="BC8" s="122">
        <f>SUM(BC11,BC33)</f>
        <v>0</v>
      </c>
      <c r="BD8" s="240"/>
    </row>
    <row r="9" spans="1:58" s="96" customFormat="1" ht="16.5" customHeight="1">
      <c r="A9" s="175" t="s">
        <v>186</v>
      </c>
      <c r="B9" s="177"/>
      <c r="C9" s="177"/>
      <c r="D9" s="177"/>
      <c r="E9" s="138">
        <f>SUM(E10:E11)</f>
        <v>876122</v>
      </c>
      <c r="F9" s="138">
        <f>SUM(F10,F11)</f>
        <v>389470</v>
      </c>
      <c r="G9" s="138">
        <f>+G10+G11</f>
        <v>130000</v>
      </c>
      <c r="H9" s="138">
        <f>+H10+H11</f>
        <v>0</v>
      </c>
      <c r="I9" s="138">
        <f>+I10+I11</f>
        <v>0</v>
      </c>
      <c r="J9" s="189">
        <f>+J10+J11</f>
        <v>0</v>
      </c>
      <c r="K9" s="139">
        <f>+K10+K11</f>
        <v>0</v>
      </c>
      <c r="L9" s="192" t="s">
        <v>186</v>
      </c>
      <c r="M9" s="177"/>
      <c r="N9" s="177"/>
      <c r="O9" s="177"/>
      <c r="P9" s="138">
        <f t="shared" ref="P9:T9" si="13">+P10+P11</f>
        <v>0</v>
      </c>
      <c r="Q9" s="138">
        <f t="shared" si="13"/>
        <v>0</v>
      </c>
      <c r="R9" s="138">
        <f t="shared" si="13"/>
        <v>0</v>
      </c>
      <c r="S9" s="138">
        <f t="shared" si="13"/>
        <v>0</v>
      </c>
      <c r="T9" s="138">
        <f t="shared" si="13"/>
        <v>0</v>
      </c>
      <c r="U9" s="189">
        <f>+U10+U11</f>
        <v>0</v>
      </c>
      <c r="V9" s="197">
        <f>+V10+V11</f>
        <v>0</v>
      </c>
      <c r="W9" s="175" t="s">
        <v>186</v>
      </c>
      <c r="X9" s="177"/>
      <c r="Y9" s="177"/>
      <c r="Z9" s="177"/>
      <c r="AA9" s="138">
        <f>+AA10+AA11</f>
        <v>0</v>
      </c>
      <c r="AB9" s="138">
        <f t="shared" ref="AB9:AD9" si="14">+AB10+AB11</f>
        <v>0</v>
      </c>
      <c r="AC9" s="138">
        <f t="shared" si="14"/>
        <v>0</v>
      </c>
      <c r="AD9" s="138">
        <f t="shared" si="14"/>
        <v>0</v>
      </c>
      <c r="AE9" s="138">
        <f>+AE10+AE11</f>
        <v>0</v>
      </c>
      <c r="AF9" s="189">
        <f>+AF10+AF11</f>
        <v>0</v>
      </c>
      <c r="AG9" s="139">
        <f>+AG10+AG11</f>
        <v>0</v>
      </c>
      <c r="AH9" s="192" t="s">
        <v>186</v>
      </c>
      <c r="AI9" s="177"/>
      <c r="AJ9" s="177"/>
      <c r="AK9" s="177"/>
      <c r="AL9" s="138">
        <f>+AL10+AL11</f>
        <v>0</v>
      </c>
      <c r="AM9" s="138">
        <f>+AM10+AM11</f>
        <v>0</v>
      </c>
      <c r="AN9" s="138">
        <f t="shared" ref="AN9:AW9" si="15">+AN10+AN11</f>
        <v>0</v>
      </c>
      <c r="AO9" s="138">
        <f>+AO10+AO11</f>
        <v>0</v>
      </c>
      <c r="AP9" s="138">
        <f>+AP10+AP11</f>
        <v>0</v>
      </c>
      <c r="AQ9" s="189">
        <f>+AQ10+AQ11</f>
        <v>0</v>
      </c>
      <c r="AR9" s="139">
        <f>+AR10+AR11</f>
        <v>0</v>
      </c>
      <c r="AS9" s="192" t="s">
        <v>186</v>
      </c>
      <c r="AT9" s="177"/>
      <c r="AU9" s="177"/>
      <c r="AV9" s="177"/>
      <c r="AW9" s="138">
        <f t="shared" si="15"/>
        <v>0</v>
      </c>
      <c r="AX9" s="138">
        <f>+AX10+AX11</f>
        <v>0</v>
      </c>
      <c r="AY9" s="138">
        <f>+AY10+AY11</f>
        <v>0</v>
      </c>
      <c r="AZ9" s="138">
        <f>+AZ10+AZ11</f>
        <v>0</v>
      </c>
      <c r="BA9" s="138">
        <f>+BA10+BA11</f>
        <v>0</v>
      </c>
      <c r="BB9" s="138">
        <f>+BB10+BB11</f>
        <v>0</v>
      </c>
      <c r="BC9" s="139">
        <f>SUM(BC10,BC11)</f>
        <v>0</v>
      </c>
      <c r="BD9" s="95"/>
    </row>
    <row r="10" spans="1:58" s="91" customFormat="1" ht="16.5" customHeight="1">
      <c r="A10" s="280" t="s">
        <v>184</v>
      </c>
      <c r="B10" s="280"/>
      <c r="C10" s="280"/>
      <c r="D10" s="280"/>
      <c r="E10" s="129">
        <f t="shared" ref="E10:J10" si="16">+E13</f>
        <v>867122</v>
      </c>
      <c r="F10" s="129">
        <f t="shared" si="16"/>
        <v>380470</v>
      </c>
      <c r="G10" s="129">
        <f t="shared" si="16"/>
        <v>130000</v>
      </c>
      <c r="H10" s="129">
        <f t="shared" si="16"/>
        <v>0</v>
      </c>
      <c r="I10" s="129">
        <f t="shared" si="16"/>
        <v>0</v>
      </c>
      <c r="J10" s="188">
        <f t="shared" si="16"/>
        <v>0</v>
      </c>
      <c r="K10" s="130">
        <f>+K13</f>
        <v>0</v>
      </c>
      <c r="L10" s="279" t="s">
        <v>184</v>
      </c>
      <c r="M10" s="280"/>
      <c r="N10" s="280"/>
      <c r="O10" s="280"/>
      <c r="P10" s="129">
        <f t="shared" ref="P10:T10" si="17">+P13</f>
        <v>0</v>
      </c>
      <c r="Q10" s="129">
        <f t="shared" si="17"/>
        <v>0</v>
      </c>
      <c r="R10" s="129">
        <f t="shared" si="17"/>
        <v>0</v>
      </c>
      <c r="S10" s="129">
        <f t="shared" si="17"/>
        <v>0</v>
      </c>
      <c r="T10" s="129">
        <f t="shared" si="17"/>
        <v>0</v>
      </c>
      <c r="U10" s="188">
        <f>+U13</f>
        <v>0</v>
      </c>
      <c r="V10" s="107">
        <f>+V13</f>
        <v>0</v>
      </c>
      <c r="W10" s="280" t="s">
        <v>184</v>
      </c>
      <c r="X10" s="280"/>
      <c r="Y10" s="280"/>
      <c r="Z10" s="280"/>
      <c r="AA10" s="129">
        <f>+AA13</f>
        <v>0</v>
      </c>
      <c r="AB10" s="129">
        <f t="shared" ref="AB10:AD10" si="18">+AB13</f>
        <v>0</v>
      </c>
      <c r="AC10" s="129">
        <f t="shared" si="18"/>
        <v>0</v>
      </c>
      <c r="AD10" s="129">
        <f t="shared" si="18"/>
        <v>0</v>
      </c>
      <c r="AE10" s="129">
        <f>+AE13</f>
        <v>0</v>
      </c>
      <c r="AF10" s="188">
        <f>+AF13</f>
        <v>0</v>
      </c>
      <c r="AG10" s="130">
        <f>+AG13</f>
        <v>0</v>
      </c>
      <c r="AH10" s="279" t="s">
        <v>184</v>
      </c>
      <c r="AI10" s="280"/>
      <c r="AJ10" s="280"/>
      <c r="AK10" s="280"/>
      <c r="AL10" s="129">
        <f>+AL13</f>
        <v>0</v>
      </c>
      <c r="AM10" s="129">
        <f>+AM13</f>
        <v>0</v>
      </c>
      <c r="AN10" s="129">
        <f t="shared" ref="AN10:AW10" si="19">+AN13</f>
        <v>0</v>
      </c>
      <c r="AO10" s="129">
        <f>+AO13</f>
        <v>0</v>
      </c>
      <c r="AP10" s="129">
        <f>+AP13</f>
        <v>0</v>
      </c>
      <c r="AQ10" s="188">
        <f>+AQ13</f>
        <v>0</v>
      </c>
      <c r="AR10" s="130">
        <f>+AR13</f>
        <v>0</v>
      </c>
      <c r="AS10" s="279" t="s">
        <v>184</v>
      </c>
      <c r="AT10" s="280"/>
      <c r="AU10" s="280"/>
      <c r="AV10" s="280"/>
      <c r="AW10" s="129">
        <f t="shared" si="19"/>
        <v>0</v>
      </c>
      <c r="AX10" s="129">
        <f>+AX13</f>
        <v>0</v>
      </c>
      <c r="AY10" s="129">
        <f>+AY13</f>
        <v>0</v>
      </c>
      <c r="AZ10" s="129">
        <f>+AZ13</f>
        <v>0</v>
      </c>
      <c r="BA10" s="129">
        <f>+BA13</f>
        <v>0</v>
      </c>
      <c r="BB10" s="129">
        <f>+BB13</f>
        <v>0</v>
      </c>
      <c r="BC10" s="122">
        <f>SUM(BC13)</f>
        <v>0</v>
      </c>
      <c r="BD10" s="90"/>
    </row>
    <row r="11" spans="1:58" s="91" customFormat="1" ht="16.5" customHeight="1">
      <c r="A11" s="174" t="s">
        <v>185</v>
      </c>
      <c r="B11" s="176"/>
      <c r="C11" s="176"/>
      <c r="D11" s="176"/>
      <c r="E11" s="129">
        <f>+E17</f>
        <v>9000</v>
      </c>
      <c r="F11" s="129">
        <f>SUM(F17)</f>
        <v>9000</v>
      </c>
      <c r="G11" s="129">
        <f>+G17</f>
        <v>0</v>
      </c>
      <c r="H11" s="129">
        <f>+H17</f>
        <v>0</v>
      </c>
      <c r="I11" s="129">
        <f>+I17</f>
        <v>0</v>
      </c>
      <c r="J11" s="188">
        <f>+J17</f>
        <v>0</v>
      </c>
      <c r="K11" s="130">
        <f>+K17</f>
        <v>0</v>
      </c>
      <c r="L11" s="191" t="s">
        <v>185</v>
      </c>
      <c r="M11" s="176"/>
      <c r="N11" s="176"/>
      <c r="O11" s="176"/>
      <c r="P11" s="129">
        <f t="shared" ref="P11:T11" si="20">+P17</f>
        <v>0</v>
      </c>
      <c r="Q11" s="129">
        <f t="shared" si="20"/>
        <v>0</v>
      </c>
      <c r="R11" s="129">
        <f t="shared" si="20"/>
        <v>0</v>
      </c>
      <c r="S11" s="129">
        <f t="shared" si="20"/>
        <v>0</v>
      </c>
      <c r="T11" s="129">
        <f t="shared" si="20"/>
        <v>0</v>
      </c>
      <c r="U11" s="188">
        <f>+U17</f>
        <v>0</v>
      </c>
      <c r="V11" s="107">
        <f>+V17</f>
        <v>0</v>
      </c>
      <c r="W11" s="174" t="s">
        <v>185</v>
      </c>
      <c r="X11" s="176"/>
      <c r="Y11" s="176"/>
      <c r="Z11" s="176"/>
      <c r="AA11" s="129">
        <f>+AA17</f>
        <v>0</v>
      </c>
      <c r="AB11" s="129">
        <f t="shared" ref="AB11:AD11" si="21">+AB17</f>
        <v>0</v>
      </c>
      <c r="AC11" s="129">
        <f t="shared" si="21"/>
        <v>0</v>
      </c>
      <c r="AD11" s="129">
        <f t="shared" si="21"/>
        <v>0</v>
      </c>
      <c r="AE11" s="129">
        <f>+AE17</f>
        <v>0</v>
      </c>
      <c r="AF11" s="188">
        <f>+AF17</f>
        <v>0</v>
      </c>
      <c r="AG11" s="130">
        <f>+AG17</f>
        <v>0</v>
      </c>
      <c r="AH11" s="191" t="s">
        <v>185</v>
      </c>
      <c r="AI11" s="176"/>
      <c r="AJ11" s="176"/>
      <c r="AK11" s="176"/>
      <c r="AL11" s="129">
        <f>+AL17</f>
        <v>0</v>
      </c>
      <c r="AM11" s="129">
        <f>+AM17</f>
        <v>0</v>
      </c>
      <c r="AN11" s="129">
        <f t="shared" ref="AN11:AW11" si="22">+AN17</f>
        <v>0</v>
      </c>
      <c r="AO11" s="129">
        <f>+AO17</f>
        <v>0</v>
      </c>
      <c r="AP11" s="129">
        <f>+AP17</f>
        <v>0</v>
      </c>
      <c r="AQ11" s="188">
        <f>+AQ17</f>
        <v>0</v>
      </c>
      <c r="AR11" s="130">
        <f>+AR17</f>
        <v>0</v>
      </c>
      <c r="AS11" s="191" t="s">
        <v>185</v>
      </c>
      <c r="AT11" s="176"/>
      <c r="AU11" s="176"/>
      <c r="AV11" s="176"/>
      <c r="AW11" s="129">
        <f t="shared" si="22"/>
        <v>0</v>
      </c>
      <c r="AX11" s="129">
        <f>+AX17</f>
        <v>0</v>
      </c>
      <c r="AY11" s="129">
        <f>+AY17</f>
        <v>0</v>
      </c>
      <c r="AZ11" s="129">
        <f>+AZ17</f>
        <v>0</v>
      </c>
      <c r="BA11" s="129">
        <f>+BA17</f>
        <v>0</v>
      </c>
      <c r="BB11" s="129">
        <f>+BB17</f>
        <v>0</v>
      </c>
      <c r="BC11" s="122">
        <f>SUM(BC17)</f>
        <v>0</v>
      </c>
      <c r="BD11" s="90"/>
    </row>
    <row r="12" spans="1:58" s="96" customFormat="1" ht="36">
      <c r="A12" s="178" t="s">
        <v>187</v>
      </c>
      <c r="B12" s="179"/>
      <c r="C12" s="179"/>
      <c r="D12" s="179"/>
      <c r="E12" s="138">
        <f>+E13+E17</f>
        <v>876122</v>
      </c>
      <c r="F12" s="138">
        <f>SUM(F13,F17)</f>
        <v>389470</v>
      </c>
      <c r="G12" s="138">
        <f>+G13+G17</f>
        <v>130000</v>
      </c>
      <c r="H12" s="138">
        <f>+H13+H17</f>
        <v>0</v>
      </c>
      <c r="I12" s="138">
        <f>+I13+I17</f>
        <v>0</v>
      </c>
      <c r="J12" s="189">
        <f>+J13+J17</f>
        <v>0</v>
      </c>
      <c r="K12" s="139">
        <f>+K13+K17</f>
        <v>0</v>
      </c>
      <c r="L12" s="193" t="s">
        <v>187</v>
      </c>
      <c r="M12" s="179"/>
      <c r="N12" s="179"/>
      <c r="O12" s="179"/>
      <c r="P12" s="138">
        <f t="shared" ref="P12:U12" si="23">+P13+P17</f>
        <v>0</v>
      </c>
      <c r="Q12" s="138">
        <f t="shared" si="23"/>
        <v>0</v>
      </c>
      <c r="R12" s="138">
        <f t="shared" si="23"/>
        <v>0</v>
      </c>
      <c r="S12" s="138">
        <f t="shared" si="23"/>
        <v>0</v>
      </c>
      <c r="T12" s="138">
        <f t="shared" si="23"/>
        <v>0</v>
      </c>
      <c r="U12" s="189">
        <f t="shared" si="23"/>
        <v>0</v>
      </c>
      <c r="V12" s="197">
        <f>+V13+V17</f>
        <v>0</v>
      </c>
      <c r="W12" s="178" t="s">
        <v>187</v>
      </c>
      <c r="X12" s="179"/>
      <c r="Y12" s="179"/>
      <c r="Z12" s="179"/>
      <c r="AA12" s="138">
        <f t="shared" ref="AA12:AF12" si="24">+AA13+AA17</f>
        <v>0</v>
      </c>
      <c r="AB12" s="138">
        <f t="shared" si="24"/>
        <v>0</v>
      </c>
      <c r="AC12" s="138">
        <f t="shared" si="24"/>
        <v>0</v>
      </c>
      <c r="AD12" s="138">
        <f t="shared" si="24"/>
        <v>0</v>
      </c>
      <c r="AE12" s="138">
        <f t="shared" si="24"/>
        <v>0</v>
      </c>
      <c r="AF12" s="189">
        <f t="shared" si="24"/>
        <v>0</v>
      </c>
      <c r="AG12" s="139">
        <f>+AG13+AG17</f>
        <v>0</v>
      </c>
      <c r="AH12" s="193" t="s">
        <v>187</v>
      </c>
      <c r="AI12" s="179"/>
      <c r="AJ12" s="179"/>
      <c r="AK12" s="179"/>
      <c r="AL12" s="138">
        <f t="shared" ref="AL12:AQ12" si="25">+AL13+AL17</f>
        <v>0</v>
      </c>
      <c r="AM12" s="138">
        <f t="shared" si="25"/>
        <v>0</v>
      </c>
      <c r="AN12" s="138">
        <f t="shared" si="25"/>
        <v>0</v>
      </c>
      <c r="AO12" s="138">
        <f t="shared" si="25"/>
        <v>0</v>
      </c>
      <c r="AP12" s="138">
        <f t="shared" si="25"/>
        <v>0</v>
      </c>
      <c r="AQ12" s="189">
        <f t="shared" si="25"/>
        <v>0</v>
      </c>
      <c r="AR12" s="139">
        <f>+AR13+AR17</f>
        <v>0</v>
      </c>
      <c r="AS12" s="193" t="s">
        <v>187</v>
      </c>
      <c r="AT12" s="179"/>
      <c r="AU12" s="179"/>
      <c r="AV12" s="179"/>
      <c r="AW12" s="138">
        <f t="shared" ref="AW12:BB12" si="26">+AW13+AW17</f>
        <v>0</v>
      </c>
      <c r="AX12" s="138">
        <f t="shared" si="26"/>
        <v>0</v>
      </c>
      <c r="AY12" s="138">
        <f t="shared" si="26"/>
        <v>0</v>
      </c>
      <c r="AZ12" s="138">
        <f t="shared" si="26"/>
        <v>0</v>
      </c>
      <c r="BA12" s="138">
        <f t="shared" si="26"/>
        <v>0</v>
      </c>
      <c r="BB12" s="138">
        <f t="shared" si="26"/>
        <v>0</v>
      </c>
      <c r="BC12" s="139">
        <f>SUM(BC13,BC17)</f>
        <v>0</v>
      </c>
      <c r="BD12" s="95"/>
    </row>
    <row r="13" spans="1:58" s="91" customFormat="1" ht="14.25" customHeight="1">
      <c r="A13" s="280" t="s">
        <v>188</v>
      </c>
      <c r="B13" s="280"/>
      <c r="C13" s="280"/>
      <c r="D13" s="280"/>
      <c r="E13" s="129">
        <f>SUM(E14,E15,E16)</f>
        <v>867122</v>
      </c>
      <c r="F13" s="129">
        <f t="shared" ref="F13:J13" si="27">SUM(F14,F15,F16)</f>
        <v>380470</v>
      </c>
      <c r="G13" s="129">
        <f t="shared" si="27"/>
        <v>130000</v>
      </c>
      <c r="H13" s="129">
        <f t="shared" si="27"/>
        <v>0</v>
      </c>
      <c r="I13" s="129">
        <f t="shared" si="27"/>
        <v>0</v>
      </c>
      <c r="J13" s="188">
        <f t="shared" si="27"/>
        <v>0</v>
      </c>
      <c r="K13" s="130">
        <f t="shared" ref="K13" si="28">SUM(K14,K15,K16)</f>
        <v>0</v>
      </c>
      <c r="L13" s="279" t="s">
        <v>188</v>
      </c>
      <c r="M13" s="280"/>
      <c r="N13" s="280"/>
      <c r="O13" s="280"/>
      <c r="P13" s="129">
        <f t="shared" ref="P13" si="29">SUM(P14,P15,P16)</f>
        <v>0</v>
      </c>
      <c r="Q13" s="129">
        <f t="shared" ref="Q13" si="30">SUM(Q14,Q15,Q16)</f>
        <v>0</v>
      </c>
      <c r="R13" s="129">
        <f t="shared" ref="R13" si="31">SUM(R14,R15,R16)</f>
        <v>0</v>
      </c>
      <c r="S13" s="129">
        <f t="shared" ref="S13" si="32">SUM(S14,S15,S16)</f>
        <v>0</v>
      </c>
      <c r="T13" s="129">
        <f t="shared" ref="T13" si="33">SUM(T14,T15,T16)</f>
        <v>0</v>
      </c>
      <c r="U13" s="188">
        <f t="shared" ref="U13" si="34">SUM(U14,U15,U16)</f>
        <v>0</v>
      </c>
      <c r="V13" s="107">
        <f t="shared" ref="V13" si="35">SUM(V14,V15,V16)</f>
        <v>0</v>
      </c>
      <c r="W13" s="280" t="s">
        <v>188</v>
      </c>
      <c r="X13" s="280"/>
      <c r="Y13" s="280"/>
      <c r="Z13" s="280"/>
      <c r="AA13" s="129">
        <f t="shared" ref="AA13" si="36">SUM(AA14,AA15,AA16)</f>
        <v>0</v>
      </c>
      <c r="AB13" s="129">
        <f t="shared" ref="AB13" si="37">SUM(AB14,AB15,AB16)</f>
        <v>0</v>
      </c>
      <c r="AC13" s="129">
        <f t="shared" ref="AC13" si="38">SUM(AC14,AC15,AC16)</f>
        <v>0</v>
      </c>
      <c r="AD13" s="129">
        <f t="shared" ref="AD13" si="39">SUM(AD14,AD15,AD16)</f>
        <v>0</v>
      </c>
      <c r="AE13" s="129">
        <f t="shared" ref="AE13" si="40">SUM(AE14,AE15,AE16)</f>
        <v>0</v>
      </c>
      <c r="AF13" s="188">
        <f t="shared" ref="AF13" si="41">SUM(AF14,AF15,AF16)</f>
        <v>0</v>
      </c>
      <c r="AG13" s="130">
        <f t="shared" ref="AG13" si="42">SUM(AG14,AG15,AG16)</f>
        <v>0</v>
      </c>
      <c r="AH13" s="279" t="s">
        <v>188</v>
      </c>
      <c r="AI13" s="280"/>
      <c r="AJ13" s="280"/>
      <c r="AK13" s="280"/>
      <c r="AL13" s="129">
        <f t="shared" ref="AL13" si="43">SUM(AL14,AL15,AL16)</f>
        <v>0</v>
      </c>
      <c r="AM13" s="129">
        <f t="shared" ref="AM13" si="44">SUM(AM14,AM15,AM16)</f>
        <v>0</v>
      </c>
      <c r="AN13" s="129">
        <f t="shared" ref="AN13" si="45">SUM(AN14,AN15,AN16)</f>
        <v>0</v>
      </c>
      <c r="AO13" s="129">
        <f t="shared" ref="AO13" si="46">SUM(AO14,AO15,AO16)</f>
        <v>0</v>
      </c>
      <c r="AP13" s="129">
        <f t="shared" ref="AP13" si="47">SUM(AP14,AP15,AP16)</f>
        <v>0</v>
      </c>
      <c r="AQ13" s="188">
        <f t="shared" ref="AQ13" si="48">SUM(AQ14,AQ15,AQ16)</f>
        <v>0</v>
      </c>
      <c r="AR13" s="130">
        <f t="shared" ref="AR13" si="49">SUM(AR14,AR15,AR16)</f>
        <v>0</v>
      </c>
      <c r="AS13" s="279" t="s">
        <v>188</v>
      </c>
      <c r="AT13" s="280"/>
      <c r="AU13" s="280"/>
      <c r="AV13" s="280"/>
      <c r="AW13" s="129">
        <f t="shared" ref="AW13" si="50">SUM(AW14,AW15,AW16)</f>
        <v>0</v>
      </c>
      <c r="AX13" s="129">
        <f t="shared" ref="AX13" si="51">SUM(AX14,AX15,AX16)</f>
        <v>0</v>
      </c>
      <c r="AY13" s="129">
        <f t="shared" ref="AY13" si="52">SUM(AY14,AY15,AY16)</f>
        <v>0</v>
      </c>
      <c r="AZ13" s="129">
        <f t="shared" ref="AZ13" si="53">SUM(AZ14,AZ15,AZ16)</f>
        <v>0</v>
      </c>
      <c r="BA13" s="129">
        <f t="shared" ref="BA13" si="54">SUM(BA14,BA15,BA16)</f>
        <v>0</v>
      </c>
      <c r="BB13" s="129">
        <f t="shared" ref="BB13" si="55">SUM(BB14,BB15,BB16)</f>
        <v>0</v>
      </c>
      <c r="BC13" s="130">
        <f t="shared" ref="BC13" si="56">SUM(BC14,BC15,BC16)</f>
        <v>0</v>
      </c>
      <c r="BD13" s="90"/>
    </row>
    <row r="14" spans="1:58" s="91" customFormat="1" ht="30" customHeight="1">
      <c r="A14" s="140" t="s">
        <v>189</v>
      </c>
      <c r="B14" s="141" t="s">
        <v>190</v>
      </c>
      <c r="C14" s="142">
        <v>2011</v>
      </c>
      <c r="D14" s="143">
        <v>2013</v>
      </c>
      <c r="E14" s="129">
        <v>80593</v>
      </c>
      <c r="F14" s="144">
        <v>16120</v>
      </c>
      <c r="G14" s="144">
        <v>0</v>
      </c>
      <c r="H14" s="144">
        <v>0</v>
      </c>
      <c r="I14" s="144">
        <v>0</v>
      </c>
      <c r="J14" s="155">
        <v>0</v>
      </c>
      <c r="K14" s="145">
        <v>0</v>
      </c>
      <c r="L14" s="146" t="s">
        <v>189</v>
      </c>
      <c r="M14" s="141" t="s">
        <v>190</v>
      </c>
      <c r="N14" s="142">
        <v>2011</v>
      </c>
      <c r="O14" s="143">
        <v>2013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55">
        <v>0</v>
      </c>
      <c r="V14" s="196">
        <v>0</v>
      </c>
      <c r="W14" s="140" t="s">
        <v>189</v>
      </c>
      <c r="X14" s="141" t="s">
        <v>190</v>
      </c>
      <c r="Y14" s="142">
        <v>2011</v>
      </c>
      <c r="Z14" s="143">
        <v>2013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55">
        <v>0</v>
      </c>
      <c r="AG14" s="145">
        <v>0</v>
      </c>
      <c r="AH14" s="146" t="s">
        <v>189</v>
      </c>
      <c r="AI14" s="141" t="s">
        <v>190</v>
      </c>
      <c r="AJ14" s="142">
        <v>2011</v>
      </c>
      <c r="AK14" s="143">
        <v>2013</v>
      </c>
      <c r="AL14" s="144">
        <v>0</v>
      </c>
      <c r="AM14" s="144">
        <v>0</v>
      </c>
      <c r="AN14" s="144">
        <v>0</v>
      </c>
      <c r="AO14" s="144">
        <v>0</v>
      </c>
      <c r="AP14" s="144">
        <v>0</v>
      </c>
      <c r="AQ14" s="155">
        <v>0</v>
      </c>
      <c r="AR14" s="145">
        <v>0</v>
      </c>
      <c r="AS14" s="146" t="s">
        <v>189</v>
      </c>
      <c r="AT14" s="141" t="s">
        <v>190</v>
      </c>
      <c r="AU14" s="142">
        <v>2011</v>
      </c>
      <c r="AV14" s="143">
        <v>2013</v>
      </c>
      <c r="AW14" s="144">
        <v>0</v>
      </c>
      <c r="AX14" s="144">
        <v>0</v>
      </c>
      <c r="AY14" s="144">
        <v>0</v>
      </c>
      <c r="AZ14" s="144">
        <v>0</v>
      </c>
      <c r="BA14" s="144">
        <v>0</v>
      </c>
      <c r="BB14" s="144">
        <v>0</v>
      </c>
      <c r="BC14" s="122">
        <v>0</v>
      </c>
      <c r="BD14" s="90"/>
    </row>
    <row r="15" spans="1:58" s="91" customFormat="1" ht="30" customHeight="1">
      <c r="A15" s="140" t="s">
        <v>203</v>
      </c>
      <c r="B15" s="141" t="s">
        <v>220</v>
      </c>
      <c r="C15" s="142">
        <v>2012</v>
      </c>
      <c r="D15" s="143">
        <v>2014</v>
      </c>
      <c r="E15" s="129">
        <v>583500</v>
      </c>
      <c r="F15" s="144">
        <v>251000</v>
      </c>
      <c r="G15" s="144">
        <v>130000</v>
      </c>
      <c r="H15" s="144">
        <v>0</v>
      </c>
      <c r="I15" s="144">
        <v>0</v>
      </c>
      <c r="J15" s="155">
        <v>0</v>
      </c>
      <c r="K15" s="145">
        <v>0</v>
      </c>
      <c r="L15" s="146" t="s">
        <v>203</v>
      </c>
      <c r="M15" s="141" t="s">
        <v>220</v>
      </c>
      <c r="N15" s="142">
        <v>2012</v>
      </c>
      <c r="O15" s="143">
        <v>2014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55">
        <v>0</v>
      </c>
      <c r="V15" s="196">
        <v>0</v>
      </c>
      <c r="W15" s="140" t="s">
        <v>203</v>
      </c>
      <c r="X15" s="141" t="s">
        <v>220</v>
      </c>
      <c r="Y15" s="142">
        <v>2012</v>
      </c>
      <c r="Z15" s="143">
        <v>2014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55">
        <v>0</v>
      </c>
      <c r="AG15" s="145">
        <v>0</v>
      </c>
      <c r="AH15" s="146" t="s">
        <v>203</v>
      </c>
      <c r="AI15" s="141" t="s">
        <v>220</v>
      </c>
      <c r="AJ15" s="142">
        <v>2012</v>
      </c>
      <c r="AK15" s="143">
        <v>2014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55">
        <v>0</v>
      </c>
      <c r="AR15" s="145">
        <v>0</v>
      </c>
      <c r="AS15" s="146" t="s">
        <v>203</v>
      </c>
      <c r="AT15" s="141" t="s">
        <v>220</v>
      </c>
      <c r="AU15" s="142">
        <v>2012</v>
      </c>
      <c r="AV15" s="143">
        <v>2014</v>
      </c>
      <c r="AW15" s="144">
        <v>0</v>
      </c>
      <c r="AX15" s="144">
        <v>0</v>
      </c>
      <c r="AY15" s="144">
        <v>0</v>
      </c>
      <c r="AZ15" s="144">
        <v>0</v>
      </c>
      <c r="BA15" s="144">
        <v>0</v>
      </c>
      <c r="BB15" s="144">
        <v>0</v>
      </c>
      <c r="BC15" s="122">
        <v>0</v>
      </c>
      <c r="BD15" s="90"/>
    </row>
    <row r="16" spans="1:58" s="91" customFormat="1" ht="36">
      <c r="A16" s="140" t="s">
        <v>231</v>
      </c>
      <c r="B16" s="141" t="s">
        <v>230</v>
      </c>
      <c r="C16" s="142">
        <v>2012</v>
      </c>
      <c r="D16" s="143">
        <v>2013</v>
      </c>
      <c r="E16" s="129">
        <v>203029</v>
      </c>
      <c r="F16" s="144">
        <v>113350</v>
      </c>
      <c r="G16" s="144">
        <v>0</v>
      </c>
      <c r="H16" s="144">
        <v>0</v>
      </c>
      <c r="I16" s="144">
        <v>0</v>
      </c>
      <c r="J16" s="155">
        <v>0</v>
      </c>
      <c r="K16" s="145">
        <v>0</v>
      </c>
      <c r="L16" s="146" t="s">
        <v>231</v>
      </c>
      <c r="M16" s="141" t="s">
        <v>230</v>
      </c>
      <c r="N16" s="142">
        <v>2012</v>
      </c>
      <c r="O16" s="143">
        <v>2013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55">
        <v>0</v>
      </c>
      <c r="V16" s="196">
        <v>0</v>
      </c>
      <c r="W16" s="140" t="s">
        <v>231</v>
      </c>
      <c r="X16" s="141" t="s">
        <v>230</v>
      </c>
      <c r="Y16" s="142">
        <v>2012</v>
      </c>
      <c r="Z16" s="143">
        <v>2013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55">
        <v>0</v>
      </c>
      <c r="AG16" s="145">
        <v>0</v>
      </c>
      <c r="AH16" s="146" t="s">
        <v>231</v>
      </c>
      <c r="AI16" s="141" t="s">
        <v>230</v>
      </c>
      <c r="AJ16" s="142">
        <v>2012</v>
      </c>
      <c r="AK16" s="143">
        <v>2013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55">
        <v>0</v>
      </c>
      <c r="AR16" s="145">
        <v>0</v>
      </c>
      <c r="AS16" s="146" t="s">
        <v>231</v>
      </c>
      <c r="AT16" s="141" t="s">
        <v>230</v>
      </c>
      <c r="AU16" s="142">
        <v>2012</v>
      </c>
      <c r="AV16" s="143">
        <v>2013</v>
      </c>
      <c r="AW16" s="144">
        <v>0</v>
      </c>
      <c r="AX16" s="144">
        <v>0</v>
      </c>
      <c r="AY16" s="144">
        <v>0</v>
      </c>
      <c r="AZ16" s="144">
        <v>0</v>
      </c>
      <c r="BA16" s="144">
        <v>0</v>
      </c>
      <c r="BB16" s="144">
        <v>0</v>
      </c>
      <c r="BC16" s="122">
        <v>0</v>
      </c>
      <c r="BD16" s="90"/>
    </row>
    <row r="17" spans="1:58" s="91" customFormat="1" ht="16.5" customHeight="1">
      <c r="A17" s="174" t="s">
        <v>191</v>
      </c>
      <c r="B17" s="176"/>
      <c r="C17" s="176"/>
      <c r="D17" s="128"/>
      <c r="E17" s="129">
        <f>+E18</f>
        <v>9000</v>
      </c>
      <c r="F17" s="129">
        <f>SUM(F18)</f>
        <v>9000</v>
      </c>
      <c r="G17" s="129">
        <f>SUM(G18:G18)</f>
        <v>0</v>
      </c>
      <c r="H17" s="129">
        <f>SUM(H18:H18)</f>
        <v>0</v>
      </c>
      <c r="I17" s="129">
        <f>SUM(I18:I18)</f>
        <v>0</v>
      </c>
      <c r="J17" s="188">
        <f>SUM(J18:J18)</f>
        <v>0</v>
      </c>
      <c r="K17" s="130">
        <f>SUM(K18:K18)</f>
        <v>0</v>
      </c>
      <c r="L17" s="191" t="s">
        <v>191</v>
      </c>
      <c r="M17" s="176"/>
      <c r="N17" s="176"/>
      <c r="O17" s="132"/>
      <c r="P17" s="129">
        <f t="shared" ref="P17:U17" si="57">SUM(P18:P18)</f>
        <v>0</v>
      </c>
      <c r="Q17" s="129">
        <f t="shared" si="57"/>
        <v>0</v>
      </c>
      <c r="R17" s="129">
        <f t="shared" si="57"/>
        <v>0</v>
      </c>
      <c r="S17" s="129">
        <f t="shared" si="57"/>
        <v>0</v>
      </c>
      <c r="T17" s="129">
        <f t="shared" si="57"/>
        <v>0</v>
      </c>
      <c r="U17" s="188">
        <f t="shared" si="57"/>
        <v>0</v>
      </c>
      <c r="V17" s="107">
        <f>SUM(V18:V18)</f>
        <v>0</v>
      </c>
      <c r="W17" s="174" t="s">
        <v>191</v>
      </c>
      <c r="X17" s="176"/>
      <c r="Y17" s="176"/>
      <c r="Z17" s="132"/>
      <c r="AA17" s="129">
        <f t="shared" ref="AA17:AF17" si="58">SUM(AA18:AA18)</f>
        <v>0</v>
      </c>
      <c r="AB17" s="129">
        <f t="shared" si="58"/>
        <v>0</v>
      </c>
      <c r="AC17" s="129">
        <f t="shared" si="58"/>
        <v>0</v>
      </c>
      <c r="AD17" s="129">
        <f t="shared" si="58"/>
        <v>0</v>
      </c>
      <c r="AE17" s="129">
        <f t="shared" si="58"/>
        <v>0</v>
      </c>
      <c r="AF17" s="188">
        <f t="shared" si="58"/>
        <v>0</v>
      </c>
      <c r="AG17" s="130">
        <f>SUM(AG18:AG18)</f>
        <v>0</v>
      </c>
      <c r="AH17" s="191" t="s">
        <v>191</v>
      </c>
      <c r="AI17" s="176"/>
      <c r="AJ17" s="176"/>
      <c r="AK17" s="132"/>
      <c r="AL17" s="129">
        <f t="shared" ref="AL17:AQ17" si="59">SUM(AL18:AL18)</f>
        <v>0</v>
      </c>
      <c r="AM17" s="129">
        <f t="shared" si="59"/>
        <v>0</v>
      </c>
      <c r="AN17" s="129">
        <f t="shared" si="59"/>
        <v>0</v>
      </c>
      <c r="AO17" s="129">
        <f t="shared" si="59"/>
        <v>0</v>
      </c>
      <c r="AP17" s="129">
        <f t="shared" si="59"/>
        <v>0</v>
      </c>
      <c r="AQ17" s="188">
        <f t="shared" si="59"/>
        <v>0</v>
      </c>
      <c r="AR17" s="130">
        <f>SUM(AR18:AR18)</f>
        <v>0</v>
      </c>
      <c r="AS17" s="191" t="s">
        <v>191</v>
      </c>
      <c r="AT17" s="176"/>
      <c r="AU17" s="176"/>
      <c r="AV17" s="132"/>
      <c r="AW17" s="129">
        <f t="shared" ref="AW17:BB17" si="60">SUM(AW18:AW18)</f>
        <v>0</v>
      </c>
      <c r="AX17" s="129">
        <f t="shared" si="60"/>
        <v>0</v>
      </c>
      <c r="AY17" s="129">
        <f t="shared" si="60"/>
        <v>0</v>
      </c>
      <c r="AZ17" s="129">
        <f t="shared" si="60"/>
        <v>0</v>
      </c>
      <c r="BA17" s="129">
        <f t="shared" si="60"/>
        <v>0</v>
      </c>
      <c r="BB17" s="129">
        <f t="shared" si="60"/>
        <v>0</v>
      </c>
      <c r="BC17" s="130">
        <f>SUM(BC18)</f>
        <v>0</v>
      </c>
      <c r="BD17" s="90"/>
    </row>
    <row r="18" spans="1:58" s="91" customFormat="1" ht="30" customHeight="1">
      <c r="A18" s="147" t="s">
        <v>203</v>
      </c>
      <c r="B18" s="141" t="s">
        <v>220</v>
      </c>
      <c r="C18" s="142">
        <v>2012</v>
      </c>
      <c r="D18" s="143">
        <v>2014</v>
      </c>
      <c r="E18" s="129">
        <v>9000</v>
      </c>
      <c r="F18" s="129">
        <v>9000</v>
      </c>
      <c r="G18" s="129">
        <v>0</v>
      </c>
      <c r="H18" s="129">
        <v>0</v>
      </c>
      <c r="I18" s="129">
        <v>0</v>
      </c>
      <c r="J18" s="188">
        <v>0</v>
      </c>
      <c r="K18" s="130">
        <v>0</v>
      </c>
      <c r="L18" s="148" t="s">
        <v>203</v>
      </c>
      <c r="M18" s="141" t="s">
        <v>220</v>
      </c>
      <c r="N18" s="142">
        <v>2012</v>
      </c>
      <c r="O18" s="143">
        <v>2014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88">
        <v>0</v>
      </c>
      <c r="V18" s="107">
        <v>0</v>
      </c>
      <c r="W18" s="147" t="s">
        <v>203</v>
      </c>
      <c r="X18" s="141" t="s">
        <v>220</v>
      </c>
      <c r="Y18" s="142">
        <v>2012</v>
      </c>
      <c r="Z18" s="143">
        <v>2014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88">
        <v>0</v>
      </c>
      <c r="AG18" s="130">
        <v>0</v>
      </c>
      <c r="AH18" s="148" t="s">
        <v>203</v>
      </c>
      <c r="AI18" s="141" t="s">
        <v>220</v>
      </c>
      <c r="AJ18" s="142">
        <v>2012</v>
      </c>
      <c r="AK18" s="143">
        <v>2014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88">
        <v>0</v>
      </c>
      <c r="AR18" s="130">
        <v>0</v>
      </c>
      <c r="AS18" s="148" t="s">
        <v>203</v>
      </c>
      <c r="AT18" s="141" t="s">
        <v>220</v>
      </c>
      <c r="AU18" s="142">
        <v>2012</v>
      </c>
      <c r="AV18" s="143">
        <v>2014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2">
        <v>0</v>
      </c>
      <c r="BD18" s="90"/>
    </row>
    <row r="19" spans="1:58" s="94" customFormat="1" ht="53.25" customHeight="1">
      <c r="A19" s="180" t="s">
        <v>193</v>
      </c>
      <c r="B19" s="181"/>
      <c r="C19" s="181"/>
      <c r="D19" s="169"/>
      <c r="E19" s="138">
        <f>+E20+E33</f>
        <v>18487917</v>
      </c>
      <c r="F19" s="168">
        <f t="shared" ref="F19:K19" si="61">SUM(F20,F33)</f>
        <v>1263266</v>
      </c>
      <c r="G19" s="138">
        <f t="shared" si="61"/>
        <v>1266800</v>
      </c>
      <c r="H19" s="138">
        <f t="shared" si="61"/>
        <v>1042600</v>
      </c>
      <c r="I19" s="138">
        <f t="shared" si="61"/>
        <v>1042600</v>
      </c>
      <c r="J19" s="189">
        <f t="shared" si="61"/>
        <v>1042600</v>
      </c>
      <c r="K19" s="139">
        <f t="shared" si="61"/>
        <v>1042600</v>
      </c>
      <c r="L19" s="194" t="s">
        <v>193</v>
      </c>
      <c r="M19" s="181"/>
      <c r="N19" s="181"/>
      <c r="O19" s="169"/>
      <c r="P19" s="138">
        <f t="shared" ref="P19:V19" si="62">SUM(P20,P33)</f>
        <v>1042600</v>
      </c>
      <c r="Q19" s="138">
        <f t="shared" si="62"/>
        <v>1042600</v>
      </c>
      <c r="R19" s="138">
        <f t="shared" si="62"/>
        <v>1042600</v>
      </c>
      <c r="S19" s="138">
        <f t="shared" si="62"/>
        <v>1042600</v>
      </c>
      <c r="T19" s="138">
        <f t="shared" si="62"/>
        <v>1042600</v>
      </c>
      <c r="U19" s="189">
        <f t="shared" si="62"/>
        <v>1042600</v>
      </c>
      <c r="V19" s="197">
        <f t="shared" si="62"/>
        <v>1042600</v>
      </c>
      <c r="W19" s="180" t="s">
        <v>193</v>
      </c>
      <c r="X19" s="181"/>
      <c r="Y19" s="181"/>
      <c r="Z19" s="169"/>
      <c r="AA19" s="138">
        <f t="shared" ref="AA19:AG19" si="63">SUM(AA20,AA33)</f>
        <v>1042600</v>
      </c>
      <c r="AB19" s="138">
        <f t="shared" si="63"/>
        <v>1042600</v>
      </c>
      <c r="AC19" s="138">
        <f t="shared" si="63"/>
        <v>0</v>
      </c>
      <c r="AD19" s="138">
        <f t="shared" si="63"/>
        <v>0</v>
      </c>
      <c r="AE19" s="138">
        <f t="shared" si="63"/>
        <v>0</v>
      </c>
      <c r="AF19" s="189">
        <f t="shared" si="63"/>
        <v>0</v>
      </c>
      <c r="AG19" s="139">
        <f t="shared" si="63"/>
        <v>0</v>
      </c>
      <c r="AH19" s="194" t="s">
        <v>193</v>
      </c>
      <c r="AI19" s="181"/>
      <c r="AJ19" s="181"/>
      <c r="AK19" s="169"/>
      <c r="AL19" s="138">
        <f t="shared" ref="AL19:AR19" si="64">SUM(AL20,AL33)</f>
        <v>0</v>
      </c>
      <c r="AM19" s="138">
        <f t="shared" si="64"/>
        <v>0</v>
      </c>
      <c r="AN19" s="138">
        <f t="shared" si="64"/>
        <v>0</v>
      </c>
      <c r="AO19" s="138">
        <f t="shared" si="64"/>
        <v>0</v>
      </c>
      <c r="AP19" s="138">
        <f t="shared" si="64"/>
        <v>0</v>
      </c>
      <c r="AQ19" s="189">
        <f t="shared" si="64"/>
        <v>0</v>
      </c>
      <c r="AR19" s="139">
        <f t="shared" si="64"/>
        <v>0</v>
      </c>
      <c r="AS19" s="194" t="s">
        <v>193</v>
      </c>
      <c r="AT19" s="181"/>
      <c r="AU19" s="181"/>
      <c r="AV19" s="169"/>
      <c r="AW19" s="138">
        <f t="shared" ref="AW19:BC19" si="65">SUM(AW20,AW33)</f>
        <v>0</v>
      </c>
      <c r="AX19" s="138">
        <f t="shared" si="65"/>
        <v>0</v>
      </c>
      <c r="AY19" s="138">
        <f t="shared" si="65"/>
        <v>0</v>
      </c>
      <c r="AZ19" s="138">
        <f t="shared" si="65"/>
        <v>0</v>
      </c>
      <c r="BA19" s="138">
        <f t="shared" si="65"/>
        <v>0</v>
      </c>
      <c r="BB19" s="138">
        <f t="shared" si="65"/>
        <v>0</v>
      </c>
      <c r="BC19" s="139">
        <f t="shared" si="65"/>
        <v>0</v>
      </c>
      <c r="BD19" s="95"/>
    </row>
    <row r="20" spans="1:58" s="91" customFormat="1" ht="16.5" customHeight="1">
      <c r="A20" s="280" t="s">
        <v>184</v>
      </c>
      <c r="B20" s="280"/>
      <c r="C20" s="280"/>
      <c r="D20" s="280"/>
      <c r="E20" s="129">
        <f>SUM(E21,E28,E22,E29,E30,E31,E32)</f>
        <v>477838</v>
      </c>
      <c r="F20" s="133">
        <f t="shared" ref="F20:J20" si="66">SUM(F21,F28,F22,F29,F30,F31,F32)</f>
        <v>220666</v>
      </c>
      <c r="G20" s="133">
        <f t="shared" si="66"/>
        <v>224200</v>
      </c>
      <c r="H20" s="133">
        <f t="shared" si="66"/>
        <v>0</v>
      </c>
      <c r="I20" s="133">
        <f t="shared" si="66"/>
        <v>0</v>
      </c>
      <c r="J20" s="188">
        <f t="shared" si="66"/>
        <v>0</v>
      </c>
      <c r="K20" s="130">
        <f t="shared" ref="K20" si="67">SUM(K21,K28,K22,K29,K30,K31,K32)</f>
        <v>0</v>
      </c>
      <c r="L20" s="279" t="s">
        <v>184</v>
      </c>
      <c r="M20" s="280"/>
      <c r="N20" s="280"/>
      <c r="O20" s="280"/>
      <c r="P20" s="133">
        <f t="shared" ref="P20" si="68">SUM(P21,P28,P22,P29,P30,P31,P32)</f>
        <v>0</v>
      </c>
      <c r="Q20" s="133">
        <f t="shared" ref="Q20" si="69">SUM(Q21,Q28,Q22,Q29,Q30,Q31,Q32)</f>
        <v>0</v>
      </c>
      <c r="R20" s="133">
        <f t="shared" ref="R20" si="70">SUM(R21,R28,R22,R29,R30,R31,R32)</f>
        <v>0</v>
      </c>
      <c r="S20" s="133">
        <f t="shared" ref="S20" si="71">SUM(S21,S28,S22,S29,S30,S31,S32)</f>
        <v>0</v>
      </c>
      <c r="T20" s="133">
        <f t="shared" ref="T20" si="72">SUM(T21,T28,T22,T29,T30,T31,T32)</f>
        <v>0</v>
      </c>
      <c r="U20" s="188">
        <f t="shared" ref="U20" si="73">SUM(U21,U28,U22,U29,U30,U31,U32)</f>
        <v>0</v>
      </c>
      <c r="V20" s="107">
        <f t="shared" ref="V20" si="74">SUM(V21,V28,V22,V29,V30,V31,V32)</f>
        <v>0</v>
      </c>
      <c r="W20" s="280" t="s">
        <v>184</v>
      </c>
      <c r="X20" s="280"/>
      <c r="Y20" s="280"/>
      <c r="Z20" s="280"/>
      <c r="AA20" s="133">
        <f t="shared" ref="AA20" si="75">SUM(AA21,AA28,AA22,AA29,AA30,AA31,AA32)</f>
        <v>0</v>
      </c>
      <c r="AB20" s="133">
        <f t="shared" ref="AB20" si="76">SUM(AB21,AB28,AB22,AB29,AB30,AB31,AB32)</f>
        <v>0</v>
      </c>
      <c r="AC20" s="133">
        <f t="shared" ref="AC20" si="77">SUM(AC21,AC28,AC22,AC29,AC30,AC31,AC32)</f>
        <v>0</v>
      </c>
      <c r="AD20" s="133">
        <f t="shared" ref="AD20" si="78">SUM(AD21,AD28,AD22,AD29,AD30,AD31,AD32)</f>
        <v>0</v>
      </c>
      <c r="AE20" s="133">
        <f t="shared" ref="AE20" si="79">SUM(AE21,AE28,AE22,AE29,AE30,AE31,AE32)</f>
        <v>0</v>
      </c>
      <c r="AF20" s="188">
        <f t="shared" ref="AF20" si="80">SUM(AF21,AF28,AF22,AF29,AF30,AF31,AF32)</f>
        <v>0</v>
      </c>
      <c r="AG20" s="130">
        <f t="shared" ref="AG20" si="81">SUM(AG21,AG28,AG22,AG29,AG30,AG31,AG32)</f>
        <v>0</v>
      </c>
      <c r="AH20" s="279" t="s">
        <v>184</v>
      </c>
      <c r="AI20" s="280"/>
      <c r="AJ20" s="280"/>
      <c r="AK20" s="280"/>
      <c r="AL20" s="133">
        <f t="shared" ref="AL20" si="82">SUM(AL21,AL28,AL22,AL29,AL30,AL31,AL32)</f>
        <v>0</v>
      </c>
      <c r="AM20" s="133">
        <f t="shared" ref="AM20" si="83">SUM(AM21,AM28,AM22,AM29,AM30,AM31,AM32)</f>
        <v>0</v>
      </c>
      <c r="AN20" s="133">
        <f t="shared" ref="AN20" si="84">SUM(AN21,AN28,AN22,AN29,AN30,AN31,AN32)</f>
        <v>0</v>
      </c>
      <c r="AO20" s="133">
        <f t="shared" ref="AO20" si="85">SUM(AO21,AO28,AO22,AO29,AO30,AO31,AO32)</f>
        <v>0</v>
      </c>
      <c r="AP20" s="133">
        <f t="shared" ref="AP20" si="86">SUM(AP21,AP28,AP22,AP29,AP30,AP31,AP32)</f>
        <v>0</v>
      </c>
      <c r="AQ20" s="188">
        <f t="shared" ref="AQ20" si="87">SUM(AQ21,AQ28,AQ22,AQ29,AQ30,AQ31,AQ32)</f>
        <v>0</v>
      </c>
      <c r="AR20" s="130">
        <f t="shared" ref="AR20" si="88">SUM(AR21,AR28,AR22,AR29,AR30,AR31,AR32)</f>
        <v>0</v>
      </c>
      <c r="AS20" s="279" t="s">
        <v>184</v>
      </c>
      <c r="AT20" s="280"/>
      <c r="AU20" s="280"/>
      <c r="AV20" s="280"/>
      <c r="AW20" s="133">
        <f t="shared" ref="AW20" si="89">SUM(AW21,AW28,AW22,AW29,AW30,AW31,AW32)</f>
        <v>0</v>
      </c>
      <c r="AX20" s="133">
        <f t="shared" ref="AX20" si="90">SUM(AX21,AX28,AX22,AX29,AX30,AX31,AX32)</f>
        <v>0</v>
      </c>
      <c r="AY20" s="133">
        <f t="shared" ref="AY20" si="91">SUM(AY21,AY28,AY22,AY29,AY30,AY31,AY32)</f>
        <v>0</v>
      </c>
      <c r="AZ20" s="133">
        <f t="shared" ref="AZ20" si="92">SUM(AZ21,AZ28,AZ22,AZ29,AZ30,AZ31,AZ32)</f>
        <v>0</v>
      </c>
      <c r="BA20" s="133">
        <f t="shared" ref="BA20" si="93">SUM(BA21,BA28,BA22,BA29,BA30,BA31,BA32)</f>
        <v>0</v>
      </c>
      <c r="BB20" s="133">
        <f t="shared" ref="BB20" si="94">SUM(BB21,BB28,BB22,BB29,BB30,BB31,BB32)</f>
        <v>0</v>
      </c>
      <c r="BC20" s="130">
        <f t="shared" ref="BC20" si="95">SUM(BC21,BC28,BC22,BC29,BC30,BC31,BC32)</f>
        <v>0</v>
      </c>
      <c r="BD20" s="90"/>
    </row>
    <row r="21" spans="1:58" s="91" customFormat="1" ht="30" customHeight="1">
      <c r="A21" s="147" t="s">
        <v>194</v>
      </c>
      <c r="B21" s="142" t="s">
        <v>192</v>
      </c>
      <c r="C21" s="142">
        <v>2011</v>
      </c>
      <c r="D21" s="142">
        <v>2014</v>
      </c>
      <c r="E21" s="129">
        <v>7900</v>
      </c>
      <c r="F21" s="144">
        <v>2000</v>
      </c>
      <c r="G21" s="144">
        <v>2000</v>
      </c>
      <c r="H21" s="144">
        <v>0</v>
      </c>
      <c r="I21" s="144">
        <v>0</v>
      </c>
      <c r="J21" s="155">
        <v>0</v>
      </c>
      <c r="K21" s="145">
        <v>0</v>
      </c>
      <c r="L21" s="148" t="s">
        <v>194</v>
      </c>
      <c r="M21" s="142" t="s">
        <v>192</v>
      </c>
      <c r="N21" s="142">
        <v>2011</v>
      </c>
      <c r="O21" s="142">
        <v>2014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55">
        <v>0</v>
      </c>
      <c r="V21" s="196">
        <v>0</v>
      </c>
      <c r="W21" s="147" t="s">
        <v>194</v>
      </c>
      <c r="X21" s="142" t="s">
        <v>192</v>
      </c>
      <c r="Y21" s="142">
        <v>2011</v>
      </c>
      <c r="Z21" s="142">
        <v>2014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55">
        <v>0</v>
      </c>
      <c r="AG21" s="145">
        <v>0</v>
      </c>
      <c r="AH21" s="148" t="s">
        <v>194</v>
      </c>
      <c r="AI21" s="142" t="s">
        <v>192</v>
      </c>
      <c r="AJ21" s="142">
        <v>2011</v>
      </c>
      <c r="AK21" s="142">
        <v>2014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55">
        <v>0</v>
      </c>
      <c r="AR21" s="145">
        <v>0</v>
      </c>
      <c r="AS21" s="148" t="s">
        <v>194</v>
      </c>
      <c r="AT21" s="142" t="s">
        <v>192</v>
      </c>
      <c r="AU21" s="142">
        <v>2011</v>
      </c>
      <c r="AV21" s="142">
        <v>2014</v>
      </c>
      <c r="AW21" s="144">
        <v>0</v>
      </c>
      <c r="AX21" s="144">
        <v>0</v>
      </c>
      <c r="AY21" s="144">
        <v>0</v>
      </c>
      <c r="AZ21" s="144">
        <v>0</v>
      </c>
      <c r="BA21" s="144">
        <v>0</v>
      </c>
      <c r="BB21" s="144">
        <v>0</v>
      </c>
      <c r="BC21" s="122">
        <v>0</v>
      </c>
      <c r="BD21" s="90"/>
    </row>
    <row r="22" spans="1:58" s="91" customFormat="1" ht="16.5" customHeight="1">
      <c r="A22" s="204" t="s">
        <v>195</v>
      </c>
      <c r="B22" s="205" t="s">
        <v>192</v>
      </c>
      <c r="C22" s="205">
        <v>2010</v>
      </c>
      <c r="D22" s="205">
        <v>2013</v>
      </c>
      <c r="E22" s="206">
        <v>18336</v>
      </c>
      <c r="F22" s="208">
        <v>1476</v>
      </c>
      <c r="G22" s="208">
        <v>0</v>
      </c>
      <c r="H22" s="208">
        <v>0</v>
      </c>
      <c r="I22" s="208">
        <v>0</v>
      </c>
      <c r="J22" s="209">
        <v>0</v>
      </c>
      <c r="K22" s="210">
        <v>0</v>
      </c>
      <c r="L22" s="211" t="s">
        <v>195</v>
      </c>
      <c r="M22" s="205" t="s">
        <v>192</v>
      </c>
      <c r="N22" s="205">
        <v>2010</v>
      </c>
      <c r="O22" s="205">
        <v>2013</v>
      </c>
      <c r="P22" s="206">
        <v>0</v>
      </c>
      <c r="Q22" s="206">
        <v>0</v>
      </c>
      <c r="R22" s="208">
        <v>0</v>
      </c>
      <c r="S22" s="208">
        <v>0</v>
      </c>
      <c r="T22" s="208">
        <v>0</v>
      </c>
      <c r="U22" s="209">
        <v>0</v>
      </c>
      <c r="V22" s="212">
        <v>0</v>
      </c>
      <c r="W22" s="204" t="s">
        <v>195</v>
      </c>
      <c r="X22" s="205" t="s">
        <v>192</v>
      </c>
      <c r="Y22" s="205">
        <v>2010</v>
      </c>
      <c r="Z22" s="205">
        <v>2013</v>
      </c>
      <c r="AA22" s="206">
        <v>0</v>
      </c>
      <c r="AB22" s="206">
        <v>0</v>
      </c>
      <c r="AC22" s="206">
        <v>0</v>
      </c>
      <c r="AD22" s="208">
        <v>0</v>
      </c>
      <c r="AE22" s="208">
        <v>0</v>
      </c>
      <c r="AF22" s="209">
        <v>0</v>
      </c>
      <c r="AG22" s="213">
        <v>0</v>
      </c>
      <c r="AH22" s="211" t="s">
        <v>195</v>
      </c>
      <c r="AI22" s="205" t="s">
        <v>192</v>
      </c>
      <c r="AJ22" s="205">
        <v>2010</v>
      </c>
      <c r="AK22" s="205">
        <v>2013</v>
      </c>
      <c r="AL22" s="206">
        <v>0</v>
      </c>
      <c r="AM22" s="206">
        <v>0</v>
      </c>
      <c r="AN22" s="206">
        <v>0</v>
      </c>
      <c r="AO22" s="208">
        <v>0</v>
      </c>
      <c r="AP22" s="208">
        <v>0</v>
      </c>
      <c r="AQ22" s="209">
        <v>0</v>
      </c>
      <c r="AR22" s="213">
        <v>0</v>
      </c>
      <c r="AS22" s="211" t="s">
        <v>195</v>
      </c>
      <c r="AT22" s="205" t="s">
        <v>192</v>
      </c>
      <c r="AU22" s="205">
        <v>2010</v>
      </c>
      <c r="AV22" s="205">
        <v>2013</v>
      </c>
      <c r="AW22" s="208">
        <v>0</v>
      </c>
      <c r="AX22" s="206">
        <v>0</v>
      </c>
      <c r="AY22" s="206">
        <v>0</v>
      </c>
      <c r="AZ22" s="206">
        <v>0</v>
      </c>
      <c r="BA22" s="208">
        <v>0</v>
      </c>
      <c r="BB22" s="208">
        <v>0</v>
      </c>
      <c r="BC22" s="207">
        <v>0</v>
      </c>
      <c r="BD22" s="90"/>
      <c r="BE22" s="92"/>
      <c r="BF22" s="92"/>
    </row>
    <row r="25" spans="1:58" s="90" customFormat="1" ht="12" customHeight="1">
      <c r="A25" s="262" t="s">
        <v>132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64"/>
      <c r="L25" s="262" t="s">
        <v>133</v>
      </c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2" t="s">
        <v>134</v>
      </c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2" t="s">
        <v>135</v>
      </c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2" t="s">
        <v>136</v>
      </c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E25" s="131"/>
      <c r="BF25" s="131"/>
    </row>
    <row r="26" spans="1:58" s="86" customFormat="1" ht="12.75" customHeight="1">
      <c r="A26" s="257" t="s">
        <v>143</v>
      </c>
      <c r="B26" s="259" t="s">
        <v>144</v>
      </c>
      <c r="C26" s="261" t="s">
        <v>145</v>
      </c>
      <c r="D26" s="261"/>
      <c r="E26" s="259" t="s">
        <v>146</v>
      </c>
      <c r="F26" s="265" t="s">
        <v>147</v>
      </c>
      <c r="G26" s="265" t="s">
        <v>148</v>
      </c>
      <c r="H26" s="265" t="s">
        <v>149</v>
      </c>
      <c r="I26" s="265" t="s">
        <v>150</v>
      </c>
      <c r="J26" s="265" t="s">
        <v>151</v>
      </c>
      <c r="K26" s="267" t="s">
        <v>152</v>
      </c>
      <c r="L26" s="269" t="s">
        <v>143</v>
      </c>
      <c r="M26" s="259" t="s">
        <v>144</v>
      </c>
      <c r="N26" s="261" t="s">
        <v>145</v>
      </c>
      <c r="O26" s="261"/>
      <c r="P26" s="265" t="s">
        <v>153</v>
      </c>
      <c r="Q26" s="265" t="s">
        <v>154</v>
      </c>
      <c r="R26" s="265" t="s">
        <v>155</v>
      </c>
      <c r="S26" s="265" t="s">
        <v>156</v>
      </c>
      <c r="T26" s="265" t="s">
        <v>157</v>
      </c>
      <c r="U26" s="265" t="s">
        <v>158</v>
      </c>
      <c r="V26" s="267" t="s">
        <v>159</v>
      </c>
      <c r="W26" s="269" t="s">
        <v>143</v>
      </c>
      <c r="X26" s="259" t="s">
        <v>144</v>
      </c>
      <c r="Y26" s="261" t="s">
        <v>145</v>
      </c>
      <c r="Z26" s="261"/>
      <c r="AA26" s="273" t="s">
        <v>160</v>
      </c>
      <c r="AB26" s="265" t="s">
        <v>161</v>
      </c>
      <c r="AC26" s="265" t="s">
        <v>162</v>
      </c>
      <c r="AD26" s="265" t="s">
        <v>163</v>
      </c>
      <c r="AE26" s="265" t="s">
        <v>164</v>
      </c>
      <c r="AF26" s="265" t="s">
        <v>165</v>
      </c>
      <c r="AG26" s="267" t="s">
        <v>166</v>
      </c>
      <c r="AH26" s="269" t="s">
        <v>143</v>
      </c>
      <c r="AI26" s="259" t="s">
        <v>144</v>
      </c>
      <c r="AJ26" s="261" t="s">
        <v>145</v>
      </c>
      <c r="AK26" s="261"/>
      <c r="AL26" s="273" t="s">
        <v>167</v>
      </c>
      <c r="AM26" s="273" t="s">
        <v>168</v>
      </c>
      <c r="AN26" s="265" t="s">
        <v>169</v>
      </c>
      <c r="AO26" s="265" t="s">
        <v>170</v>
      </c>
      <c r="AP26" s="265" t="s">
        <v>171</v>
      </c>
      <c r="AQ26" s="265" t="s">
        <v>172</v>
      </c>
      <c r="AR26" s="267" t="s">
        <v>173</v>
      </c>
      <c r="AS26" s="269" t="s">
        <v>143</v>
      </c>
      <c r="AT26" s="259" t="s">
        <v>144</v>
      </c>
      <c r="AU26" s="261" t="s">
        <v>145</v>
      </c>
      <c r="AV26" s="261"/>
      <c r="AW26" s="265" t="s">
        <v>174</v>
      </c>
      <c r="AX26" s="273" t="s">
        <v>175</v>
      </c>
      <c r="AY26" s="273" t="s">
        <v>176</v>
      </c>
      <c r="AZ26" s="265" t="s">
        <v>177</v>
      </c>
      <c r="BA26" s="265" t="s">
        <v>178</v>
      </c>
      <c r="BB26" s="265" t="s">
        <v>179</v>
      </c>
      <c r="BC26" s="277" t="s">
        <v>180</v>
      </c>
      <c r="BD26" s="85"/>
    </row>
    <row r="27" spans="1:58" s="89" customFormat="1" ht="23.25" customHeight="1">
      <c r="A27" s="258"/>
      <c r="B27" s="260"/>
      <c r="C27" s="87" t="s">
        <v>181</v>
      </c>
      <c r="D27" s="87" t="s">
        <v>182</v>
      </c>
      <c r="E27" s="260"/>
      <c r="F27" s="266"/>
      <c r="G27" s="266"/>
      <c r="H27" s="266"/>
      <c r="I27" s="266"/>
      <c r="J27" s="266"/>
      <c r="K27" s="268"/>
      <c r="L27" s="270"/>
      <c r="M27" s="260"/>
      <c r="N27" s="87" t="s">
        <v>181</v>
      </c>
      <c r="O27" s="87" t="s">
        <v>182</v>
      </c>
      <c r="P27" s="266"/>
      <c r="Q27" s="266"/>
      <c r="R27" s="266"/>
      <c r="S27" s="266"/>
      <c r="T27" s="266"/>
      <c r="U27" s="266"/>
      <c r="V27" s="268"/>
      <c r="W27" s="270"/>
      <c r="X27" s="260"/>
      <c r="Y27" s="87" t="s">
        <v>181</v>
      </c>
      <c r="Z27" s="87" t="s">
        <v>182</v>
      </c>
      <c r="AA27" s="274"/>
      <c r="AB27" s="266"/>
      <c r="AC27" s="266"/>
      <c r="AD27" s="266"/>
      <c r="AE27" s="266"/>
      <c r="AF27" s="266"/>
      <c r="AG27" s="268"/>
      <c r="AH27" s="270"/>
      <c r="AI27" s="260"/>
      <c r="AJ27" s="87" t="s">
        <v>181</v>
      </c>
      <c r="AK27" s="87" t="s">
        <v>182</v>
      </c>
      <c r="AL27" s="274"/>
      <c r="AM27" s="274"/>
      <c r="AN27" s="266"/>
      <c r="AO27" s="266"/>
      <c r="AP27" s="266"/>
      <c r="AQ27" s="266"/>
      <c r="AR27" s="268"/>
      <c r="AS27" s="270"/>
      <c r="AT27" s="260"/>
      <c r="AU27" s="87" t="s">
        <v>181</v>
      </c>
      <c r="AV27" s="87" t="s">
        <v>182</v>
      </c>
      <c r="AW27" s="266"/>
      <c r="AX27" s="274"/>
      <c r="AY27" s="274"/>
      <c r="AZ27" s="266"/>
      <c r="BA27" s="266"/>
      <c r="BB27" s="266"/>
      <c r="BC27" s="278"/>
      <c r="BD27" s="88"/>
    </row>
    <row r="28" spans="1:58" s="91" customFormat="1" ht="36" customHeight="1">
      <c r="A28" s="149" t="s">
        <v>196</v>
      </c>
      <c r="B28" s="150" t="s">
        <v>192</v>
      </c>
      <c r="C28" s="150">
        <v>2010</v>
      </c>
      <c r="D28" s="150">
        <v>2013</v>
      </c>
      <c r="E28" s="133">
        <v>6632</v>
      </c>
      <c r="F28" s="151">
        <v>923</v>
      </c>
      <c r="G28" s="151">
        <v>0</v>
      </c>
      <c r="H28" s="151">
        <v>0</v>
      </c>
      <c r="I28" s="151">
        <v>0</v>
      </c>
      <c r="J28" s="200">
        <v>0</v>
      </c>
      <c r="K28" s="152">
        <v>0</v>
      </c>
      <c r="L28" s="153" t="s">
        <v>196</v>
      </c>
      <c r="M28" s="150" t="s">
        <v>192</v>
      </c>
      <c r="N28" s="150">
        <v>2010</v>
      </c>
      <c r="O28" s="150">
        <v>2013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200">
        <v>0</v>
      </c>
      <c r="V28" s="152">
        <v>0</v>
      </c>
      <c r="W28" s="153" t="s">
        <v>196</v>
      </c>
      <c r="X28" s="150" t="s">
        <v>192</v>
      </c>
      <c r="Y28" s="150">
        <v>2010</v>
      </c>
      <c r="Z28" s="150">
        <v>2013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200">
        <v>0</v>
      </c>
      <c r="AG28" s="152">
        <v>0</v>
      </c>
      <c r="AH28" s="153" t="s">
        <v>196</v>
      </c>
      <c r="AI28" s="150" t="s">
        <v>192</v>
      </c>
      <c r="AJ28" s="150">
        <v>2010</v>
      </c>
      <c r="AK28" s="150">
        <v>2013</v>
      </c>
      <c r="AL28" s="151">
        <v>0</v>
      </c>
      <c r="AM28" s="151">
        <v>0</v>
      </c>
      <c r="AN28" s="151">
        <v>0</v>
      </c>
      <c r="AO28" s="151">
        <v>0</v>
      </c>
      <c r="AP28" s="151">
        <v>0</v>
      </c>
      <c r="AQ28" s="200">
        <v>0</v>
      </c>
      <c r="AR28" s="152">
        <v>0</v>
      </c>
      <c r="AS28" s="153" t="s">
        <v>196</v>
      </c>
      <c r="AT28" s="150" t="s">
        <v>192</v>
      </c>
      <c r="AU28" s="150">
        <v>2010</v>
      </c>
      <c r="AV28" s="150">
        <v>2013</v>
      </c>
      <c r="AW28" s="151">
        <v>0</v>
      </c>
      <c r="AX28" s="151">
        <v>0</v>
      </c>
      <c r="AY28" s="151">
        <v>0</v>
      </c>
      <c r="AZ28" s="151">
        <v>0</v>
      </c>
      <c r="BA28" s="151">
        <v>0</v>
      </c>
      <c r="BB28" s="151">
        <v>0</v>
      </c>
      <c r="BC28" s="154">
        <v>0</v>
      </c>
      <c r="BD28" s="90"/>
    </row>
    <row r="29" spans="1:58" s="91" customFormat="1" ht="36" customHeight="1">
      <c r="A29" s="147" t="s">
        <v>197</v>
      </c>
      <c r="B29" s="142" t="s">
        <v>192</v>
      </c>
      <c r="C29" s="142">
        <v>2010</v>
      </c>
      <c r="D29" s="142">
        <v>2013</v>
      </c>
      <c r="E29" s="129">
        <v>4420</v>
      </c>
      <c r="F29" s="144">
        <v>492</v>
      </c>
      <c r="G29" s="144">
        <v>0</v>
      </c>
      <c r="H29" s="144">
        <v>0</v>
      </c>
      <c r="I29" s="144">
        <v>0</v>
      </c>
      <c r="J29" s="155">
        <v>0</v>
      </c>
      <c r="K29" s="145">
        <v>0</v>
      </c>
      <c r="L29" s="148" t="s">
        <v>197</v>
      </c>
      <c r="M29" s="142" t="s">
        <v>192</v>
      </c>
      <c r="N29" s="142">
        <v>2010</v>
      </c>
      <c r="O29" s="142">
        <v>2013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55">
        <v>0</v>
      </c>
      <c r="V29" s="145">
        <v>0</v>
      </c>
      <c r="W29" s="148" t="s">
        <v>197</v>
      </c>
      <c r="X29" s="142" t="s">
        <v>192</v>
      </c>
      <c r="Y29" s="142">
        <v>2010</v>
      </c>
      <c r="Z29" s="142">
        <v>2013</v>
      </c>
      <c r="AA29" s="144">
        <v>0</v>
      </c>
      <c r="AB29" s="144">
        <v>0</v>
      </c>
      <c r="AC29" s="144">
        <v>0</v>
      </c>
      <c r="AD29" s="144">
        <v>0</v>
      </c>
      <c r="AE29" s="144">
        <v>0</v>
      </c>
      <c r="AF29" s="155">
        <v>0</v>
      </c>
      <c r="AG29" s="145">
        <v>0</v>
      </c>
      <c r="AH29" s="148" t="s">
        <v>197</v>
      </c>
      <c r="AI29" s="142" t="s">
        <v>192</v>
      </c>
      <c r="AJ29" s="142">
        <v>2010</v>
      </c>
      <c r="AK29" s="142">
        <v>2013</v>
      </c>
      <c r="AL29" s="144">
        <v>0</v>
      </c>
      <c r="AM29" s="144">
        <v>0</v>
      </c>
      <c r="AN29" s="144">
        <v>0</v>
      </c>
      <c r="AO29" s="144">
        <v>0</v>
      </c>
      <c r="AP29" s="144">
        <v>0</v>
      </c>
      <c r="AQ29" s="155">
        <v>0</v>
      </c>
      <c r="AR29" s="145">
        <v>0</v>
      </c>
      <c r="AS29" s="148" t="s">
        <v>197</v>
      </c>
      <c r="AT29" s="142" t="s">
        <v>192</v>
      </c>
      <c r="AU29" s="142">
        <v>2010</v>
      </c>
      <c r="AV29" s="142">
        <v>2013</v>
      </c>
      <c r="AW29" s="144">
        <v>0</v>
      </c>
      <c r="AX29" s="144">
        <v>0</v>
      </c>
      <c r="AY29" s="144">
        <v>0</v>
      </c>
      <c r="AZ29" s="144">
        <v>0</v>
      </c>
      <c r="BA29" s="144">
        <v>0</v>
      </c>
      <c r="BB29" s="144">
        <v>0</v>
      </c>
      <c r="BC29" s="122">
        <v>0</v>
      </c>
      <c r="BD29" s="90"/>
    </row>
    <row r="30" spans="1:58" s="91" customFormat="1" ht="36" customHeight="1">
      <c r="A30" s="147" t="s">
        <v>229</v>
      </c>
      <c r="B30" s="142" t="s">
        <v>192</v>
      </c>
      <c r="C30" s="142">
        <v>2012</v>
      </c>
      <c r="D30" s="142">
        <v>2013</v>
      </c>
      <c r="E30" s="129">
        <v>3150</v>
      </c>
      <c r="F30" s="144">
        <v>1575</v>
      </c>
      <c r="G30" s="144">
        <v>0</v>
      </c>
      <c r="H30" s="144">
        <v>0</v>
      </c>
      <c r="I30" s="144">
        <v>0</v>
      </c>
      <c r="J30" s="155">
        <v>0</v>
      </c>
      <c r="K30" s="130">
        <v>0</v>
      </c>
      <c r="L30" s="148" t="s">
        <v>229</v>
      </c>
      <c r="M30" s="142" t="s">
        <v>192</v>
      </c>
      <c r="N30" s="142">
        <v>2012</v>
      </c>
      <c r="O30" s="142">
        <v>2013</v>
      </c>
      <c r="P30" s="129">
        <v>0</v>
      </c>
      <c r="Q30" s="129">
        <v>0</v>
      </c>
      <c r="R30" s="144">
        <v>0</v>
      </c>
      <c r="S30" s="144">
        <v>0</v>
      </c>
      <c r="T30" s="144">
        <v>0</v>
      </c>
      <c r="U30" s="155">
        <v>0</v>
      </c>
      <c r="V30" s="145">
        <v>0</v>
      </c>
      <c r="W30" s="148" t="s">
        <v>229</v>
      </c>
      <c r="X30" s="142" t="s">
        <v>192</v>
      </c>
      <c r="Y30" s="142">
        <v>2012</v>
      </c>
      <c r="Z30" s="142">
        <v>2013</v>
      </c>
      <c r="AA30" s="129">
        <v>0</v>
      </c>
      <c r="AB30" s="129">
        <v>0</v>
      </c>
      <c r="AC30" s="129">
        <v>0</v>
      </c>
      <c r="AD30" s="144">
        <v>0</v>
      </c>
      <c r="AE30" s="144">
        <v>0</v>
      </c>
      <c r="AF30" s="155">
        <v>0</v>
      </c>
      <c r="AG30" s="145">
        <v>0</v>
      </c>
      <c r="AH30" s="148" t="s">
        <v>229</v>
      </c>
      <c r="AI30" s="142" t="s">
        <v>192</v>
      </c>
      <c r="AJ30" s="142">
        <v>2012</v>
      </c>
      <c r="AK30" s="142">
        <v>2013</v>
      </c>
      <c r="AL30" s="129">
        <v>0</v>
      </c>
      <c r="AM30" s="129">
        <v>0</v>
      </c>
      <c r="AN30" s="129">
        <v>0</v>
      </c>
      <c r="AO30" s="144">
        <v>0</v>
      </c>
      <c r="AP30" s="144">
        <v>0</v>
      </c>
      <c r="AQ30" s="155">
        <v>0</v>
      </c>
      <c r="AR30" s="145">
        <v>0</v>
      </c>
      <c r="AS30" s="148" t="s">
        <v>229</v>
      </c>
      <c r="AT30" s="142" t="s">
        <v>192</v>
      </c>
      <c r="AU30" s="142">
        <v>2012</v>
      </c>
      <c r="AV30" s="142">
        <v>2013</v>
      </c>
      <c r="AW30" s="144">
        <v>0</v>
      </c>
      <c r="AX30" s="129">
        <v>0</v>
      </c>
      <c r="AY30" s="129">
        <v>0</v>
      </c>
      <c r="AZ30" s="129">
        <v>0</v>
      </c>
      <c r="BA30" s="144">
        <v>0</v>
      </c>
      <c r="BB30" s="144">
        <v>0</v>
      </c>
      <c r="BC30" s="122">
        <v>0</v>
      </c>
      <c r="BD30" s="90"/>
      <c r="BE30" s="92"/>
      <c r="BF30" s="92"/>
    </row>
    <row r="31" spans="1:58" s="91" customFormat="1" ht="36" customHeight="1">
      <c r="A31" s="147" t="s">
        <v>235</v>
      </c>
      <c r="B31" s="142" t="s">
        <v>192</v>
      </c>
      <c r="C31" s="142">
        <v>2013</v>
      </c>
      <c r="D31" s="142">
        <v>2014</v>
      </c>
      <c r="E31" s="129">
        <v>435000</v>
      </c>
      <c r="F31" s="144">
        <v>213000</v>
      </c>
      <c r="G31" s="144">
        <v>222000</v>
      </c>
      <c r="H31" s="144">
        <v>0</v>
      </c>
      <c r="I31" s="144">
        <v>0</v>
      </c>
      <c r="J31" s="155">
        <v>0</v>
      </c>
      <c r="K31" s="130">
        <v>0</v>
      </c>
      <c r="L31" s="148" t="s">
        <v>235</v>
      </c>
      <c r="M31" s="142" t="s">
        <v>192</v>
      </c>
      <c r="N31" s="142">
        <v>2013</v>
      </c>
      <c r="O31" s="142">
        <v>2014</v>
      </c>
      <c r="P31" s="129">
        <v>0</v>
      </c>
      <c r="Q31" s="129">
        <v>0</v>
      </c>
      <c r="R31" s="144">
        <v>0</v>
      </c>
      <c r="S31" s="144">
        <v>0</v>
      </c>
      <c r="T31" s="144">
        <v>0</v>
      </c>
      <c r="U31" s="155">
        <v>0</v>
      </c>
      <c r="V31" s="145">
        <v>0</v>
      </c>
      <c r="W31" s="148" t="s">
        <v>235</v>
      </c>
      <c r="X31" s="142" t="s">
        <v>192</v>
      </c>
      <c r="Y31" s="142">
        <v>2013</v>
      </c>
      <c r="Z31" s="142">
        <v>2014</v>
      </c>
      <c r="AA31" s="129">
        <v>0</v>
      </c>
      <c r="AB31" s="129">
        <v>0</v>
      </c>
      <c r="AC31" s="129">
        <v>0</v>
      </c>
      <c r="AD31" s="144">
        <v>0</v>
      </c>
      <c r="AE31" s="144">
        <v>0</v>
      </c>
      <c r="AF31" s="155">
        <v>0</v>
      </c>
      <c r="AG31" s="145">
        <v>0</v>
      </c>
      <c r="AH31" s="148" t="s">
        <v>235</v>
      </c>
      <c r="AI31" s="142" t="s">
        <v>192</v>
      </c>
      <c r="AJ31" s="142">
        <v>2013</v>
      </c>
      <c r="AK31" s="142">
        <v>2014</v>
      </c>
      <c r="AL31" s="129">
        <v>0</v>
      </c>
      <c r="AM31" s="129">
        <v>0</v>
      </c>
      <c r="AN31" s="129">
        <v>0</v>
      </c>
      <c r="AO31" s="144">
        <v>0</v>
      </c>
      <c r="AP31" s="144">
        <v>0</v>
      </c>
      <c r="AQ31" s="155">
        <v>0</v>
      </c>
      <c r="AR31" s="145">
        <v>0</v>
      </c>
      <c r="AS31" s="148" t="s">
        <v>235</v>
      </c>
      <c r="AT31" s="142" t="s">
        <v>192</v>
      </c>
      <c r="AU31" s="142">
        <v>2013</v>
      </c>
      <c r="AV31" s="142">
        <v>2014</v>
      </c>
      <c r="AW31" s="144">
        <v>0</v>
      </c>
      <c r="AX31" s="129">
        <v>0</v>
      </c>
      <c r="AY31" s="129">
        <v>0</v>
      </c>
      <c r="AZ31" s="129">
        <v>0</v>
      </c>
      <c r="BA31" s="144">
        <v>0</v>
      </c>
      <c r="BB31" s="144">
        <v>0</v>
      </c>
      <c r="BC31" s="122">
        <v>0</v>
      </c>
      <c r="BD31" s="90"/>
      <c r="BE31" s="92"/>
      <c r="BF31" s="92"/>
    </row>
    <row r="32" spans="1:58" s="91" customFormat="1" ht="30" customHeight="1">
      <c r="A32" s="147" t="s">
        <v>240</v>
      </c>
      <c r="B32" s="182" t="s">
        <v>220</v>
      </c>
      <c r="C32" s="142">
        <v>2012</v>
      </c>
      <c r="D32" s="142">
        <v>2014</v>
      </c>
      <c r="E32" s="133">
        <v>2400</v>
      </c>
      <c r="F32" s="144">
        <v>1200</v>
      </c>
      <c r="G32" s="144">
        <v>200</v>
      </c>
      <c r="H32" s="144">
        <v>0</v>
      </c>
      <c r="I32" s="144">
        <v>0</v>
      </c>
      <c r="J32" s="155">
        <v>0</v>
      </c>
      <c r="K32" s="130">
        <v>0</v>
      </c>
      <c r="L32" s="148" t="s">
        <v>240</v>
      </c>
      <c r="M32" s="182" t="s">
        <v>220</v>
      </c>
      <c r="N32" s="142">
        <v>2012</v>
      </c>
      <c r="O32" s="142">
        <v>2014</v>
      </c>
      <c r="P32" s="133">
        <v>0</v>
      </c>
      <c r="Q32" s="133">
        <v>0</v>
      </c>
      <c r="R32" s="144">
        <v>0</v>
      </c>
      <c r="S32" s="144">
        <v>0</v>
      </c>
      <c r="T32" s="144">
        <v>0</v>
      </c>
      <c r="U32" s="155">
        <v>0</v>
      </c>
      <c r="V32" s="145">
        <v>0</v>
      </c>
      <c r="W32" s="148" t="s">
        <v>240</v>
      </c>
      <c r="X32" s="182" t="s">
        <v>220</v>
      </c>
      <c r="Y32" s="142">
        <v>2012</v>
      </c>
      <c r="Z32" s="142">
        <v>2014</v>
      </c>
      <c r="AA32" s="133">
        <v>0</v>
      </c>
      <c r="AB32" s="133">
        <v>0</v>
      </c>
      <c r="AC32" s="133">
        <v>0</v>
      </c>
      <c r="AD32" s="144">
        <v>0</v>
      </c>
      <c r="AE32" s="144">
        <v>0</v>
      </c>
      <c r="AF32" s="155">
        <v>0</v>
      </c>
      <c r="AG32" s="145">
        <v>0</v>
      </c>
      <c r="AH32" s="148" t="s">
        <v>240</v>
      </c>
      <c r="AI32" s="182" t="s">
        <v>220</v>
      </c>
      <c r="AJ32" s="142">
        <v>2012</v>
      </c>
      <c r="AK32" s="142">
        <v>2014</v>
      </c>
      <c r="AL32" s="133">
        <v>0</v>
      </c>
      <c r="AM32" s="133">
        <v>0</v>
      </c>
      <c r="AN32" s="133">
        <v>0</v>
      </c>
      <c r="AO32" s="144">
        <v>0</v>
      </c>
      <c r="AP32" s="144">
        <v>0</v>
      </c>
      <c r="AQ32" s="155">
        <v>0</v>
      </c>
      <c r="AR32" s="145">
        <v>0</v>
      </c>
      <c r="AS32" s="148" t="s">
        <v>240</v>
      </c>
      <c r="AT32" s="182" t="s">
        <v>220</v>
      </c>
      <c r="AU32" s="142">
        <v>2012</v>
      </c>
      <c r="AV32" s="142">
        <v>2014</v>
      </c>
      <c r="AW32" s="144">
        <v>0</v>
      </c>
      <c r="AX32" s="133">
        <v>0</v>
      </c>
      <c r="AY32" s="133">
        <v>0</v>
      </c>
      <c r="AZ32" s="133">
        <v>0</v>
      </c>
      <c r="BA32" s="144">
        <v>0</v>
      </c>
      <c r="BB32" s="144">
        <v>0</v>
      </c>
      <c r="BC32" s="122">
        <v>0</v>
      </c>
      <c r="BD32" s="90"/>
      <c r="BE32" s="92"/>
      <c r="BF32" s="92"/>
    </row>
    <row r="33" spans="1:58" s="91" customFormat="1" ht="16.5" customHeight="1">
      <c r="A33" s="174" t="s">
        <v>185</v>
      </c>
      <c r="B33" s="176"/>
      <c r="C33" s="176"/>
      <c r="D33" s="128"/>
      <c r="E33" s="129">
        <f>SUM(E34)</f>
        <v>18010079</v>
      </c>
      <c r="F33" s="129">
        <f t="shared" ref="F33:J33" si="96">SUM(F34)</f>
        <v>1042600</v>
      </c>
      <c r="G33" s="129">
        <f t="shared" si="96"/>
        <v>1042600</v>
      </c>
      <c r="H33" s="129">
        <f t="shared" si="96"/>
        <v>1042600</v>
      </c>
      <c r="I33" s="129">
        <f t="shared" si="96"/>
        <v>1042600</v>
      </c>
      <c r="J33" s="188">
        <f t="shared" si="96"/>
        <v>1042600</v>
      </c>
      <c r="K33" s="130">
        <f t="shared" ref="K33" si="97">SUM(K34)</f>
        <v>1042600</v>
      </c>
      <c r="L33" s="191" t="s">
        <v>185</v>
      </c>
      <c r="M33" s="176"/>
      <c r="N33" s="176"/>
      <c r="O33" s="132"/>
      <c r="P33" s="129">
        <f t="shared" ref="P33" si="98">SUM(P34)</f>
        <v>1042600</v>
      </c>
      <c r="Q33" s="129">
        <f t="shared" ref="Q33" si="99">SUM(Q34)</f>
        <v>1042600</v>
      </c>
      <c r="R33" s="129">
        <f t="shared" ref="R33" si="100">SUM(R34)</f>
        <v>1042600</v>
      </c>
      <c r="S33" s="129">
        <f t="shared" ref="S33" si="101">SUM(S34)</f>
        <v>1042600</v>
      </c>
      <c r="T33" s="129">
        <f t="shared" ref="T33" si="102">SUM(T34)</f>
        <v>1042600</v>
      </c>
      <c r="U33" s="188">
        <f t="shared" ref="U33" si="103">SUM(U34)</f>
        <v>1042600</v>
      </c>
      <c r="V33" s="130">
        <f t="shared" ref="V33" si="104">SUM(V34)</f>
        <v>1042600</v>
      </c>
      <c r="W33" s="191" t="s">
        <v>185</v>
      </c>
      <c r="X33" s="176"/>
      <c r="Y33" s="176"/>
      <c r="Z33" s="132"/>
      <c r="AA33" s="129">
        <f t="shared" ref="AA33" si="105">SUM(AA34)</f>
        <v>1042600</v>
      </c>
      <c r="AB33" s="129">
        <f t="shared" ref="AB33" si="106">SUM(AB34)</f>
        <v>1042600</v>
      </c>
      <c r="AC33" s="129">
        <f t="shared" ref="AC33" si="107">SUM(AC34)</f>
        <v>0</v>
      </c>
      <c r="AD33" s="129">
        <f t="shared" ref="AD33" si="108">SUM(AD34)</f>
        <v>0</v>
      </c>
      <c r="AE33" s="129">
        <f t="shared" ref="AE33" si="109">SUM(AE34)</f>
        <v>0</v>
      </c>
      <c r="AF33" s="188">
        <f t="shared" ref="AF33" si="110">SUM(AF34)</f>
        <v>0</v>
      </c>
      <c r="AG33" s="130">
        <f t="shared" ref="AG33" si="111">SUM(AG34)</f>
        <v>0</v>
      </c>
      <c r="AH33" s="191" t="s">
        <v>185</v>
      </c>
      <c r="AI33" s="176"/>
      <c r="AJ33" s="176"/>
      <c r="AK33" s="132"/>
      <c r="AL33" s="129">
        <f t="shared" ref="AL33" si="112">SUM(AL34)</f>
        <v>0</v>
      </c>
      <c r="AM33" s="129">
        <f t="shared" ref="AM33" si="113">SUM(AM34)</f>
        <v>0</v>
      </c>
      <c r="AN33" s="129">
        <f t="shared" ref="AN33" si="114">SUM(AN34)</f>
        <v>0</v>
      </c>
      <c r="AO33" s="129">
        <f t="shared" ref="AO33" si="115">SUM(AO34)</f>
        <v>0</v>
      </c>
      <c r="AP33" s="129">
        <f t="shared" ref="AP33" si="116">SUM(AP34)</f>
        <v>0</v>
      </c>
      <c r="AQ33" s="188">
        <f t="shared" ref="AQ33" si="117">SUM(AQ34)</f>
        <v>0</v>
      </c>
      <c r="AR33" s="130">
        <f t="shared" ref="AR33" si="118">SUM(AR34)</f>
        <v>0</v>
      </c>
      <c r="AS33" s="191" t="s">
        <v>185</v>
      </c>
      <c r="AT33" s="176"/>
      <c r="AU33" s="176"/>
      <c r="AV33" s="132"/>
      <c r="AW33" s="129">
        <f t="shared" ref="AW33" si="119">SUM(AW34)</f>
        <v>0</v>
      </c>
      <c r="AX33" s="129">
        <f t="shared" ref="AX33" si="120">SUM(AX34)</f>
        <v>0</v>
      </c>
      <c r="AY33" s="129">
        <f t="shared" ref="AY33" si="121">SUM(AY34)</f>
        <v>0</v>
      </c>
      <c r="AZ33" s="129">
        <f t="shared" ref="AZ33" si="122">SUM(AZ34)</f>
        <v>0</v>
      </c>
      <c r="BA33" s="129">
        <f t="shared" ref="BA33" si="123">SUM(BA34)</f>
        <v>0</v>
      </c>
      <c r="BB33" s="129">
        <f t="shared" ref="BB33" si="124">SUM(BB34)</f>
        <v>0</v>
      </c>
      <c r="BC33" s="130">
        <f t="shared" ref="BC33" si="125">SUM(BC34)</f>
        <v>0</v>
      </c>
      <c r="BD33" s="90"/>
      <c r="BF33" s="97"/>
    </row>
    <row r="34" spans="1:58" ht="36" customHeight="1">
      <c r="A34" s="147" t="s">
        <v>198</v>
      </c>
      <c r="B34" s="142" t="s">
        <v>192</v>
      </c>
      <c r="C34" s="142">
        <v>2004</v>
      </c>
      <c r="D34" s="142">
        <v>2027</v>
      </c>
      <c r="E34" s="129">
        <v>18010079</v>
      </c>
      <c r="F34" s="129">
        <v>1042600</v>
      </c>
      <c r="G34" s="129">
        <v>1042600</v>
      </c>
      <c r="H34" s="129">
        <v>1042600</v>
      </c>
      <c r="I34" s="144">
        <v>1042600</v>
      </c>
      <c r="J34" s="155">
        <v>1042600</v>
      </c>
      <c r="K34" s="145">
        <v>1042600</v>
      </c>
      <c r="L34" s="148" t="s">
        <v>198</v>
      </c>
      <c r="M34" s="142" t="s">
        <v>192</v>
      </c>
      <c r="N34" s="142">
        <v>2004</v>
      </c>
      <c r="O34" s="142">
        <v>2027</v>
      </c>
      <c r="P34" s="144">
        <v>1042600</v>
      </c>
      <c r="Q34" s="144">
        <v>1042600</v>
      </c>
      <c r="R34" s="144">
        <v>1042600</v>
      </c>
      <c r="S34" s="144">
        <v>1042600</v>
      </c>
      <c r="T34" s="144">
        <v>1042600</v>
      </c>
      <c r="U34" s="155">
        <v>1042600</v>
      </c>
      <c r="V34" s="145">
        <v>1042600</v>
      </c>
      <c r="W34" s="148" t="s">
        <v>198</v>
      </c>
      <c r="X34" s="142" t="s">
        <v>192</v>
      </c>
      <c r="Y34" s="142">
        <v>2004</v>
      </c>
      <c r="Z34" s="142">
        <v>2027</v>
      </c>
      <c r="AA34" s="144">
        <v>1042600</v>
      </c>
      <c r="AB34" s="144">
        <v>1042600</v>
      </c>
      <c r="AC34" s="144">
        <v>0</v>
      </c>
      <c r="AD34" s="144">
        <v>0</v>
      </c>
      <c r="AE34" s="144">
        <v>0</v>
      </c>
      <c r="AF34" s="155">
        <v>0</v>
      </c>
      <c r="AG34" s="145">
        <v>0</v>
      </c>
      <c r="AH34" s="148" t="s">
        <v>198</v>
      </c>
      <c r="AI34" s="142" t="s">
        <v>192</v>
      </c>
      <c r="AJ34" s="142">
        <v>2004</v>
      </c>
      <c r="AK34" s="142">
        <v>2027</v>
      </c>
      <c r="AL34" s="144">
        <v>0</v>
      </c>
      <c r="AM34" s="144">
        <v>0</v>
      </c>
      <c r="AN34" s="144">
        <v>0</v>
      </c>
      <c r="AO34" s="144">
        <v>0</v>
      </c>
      <c r="AP34" s="144">
        <v>0</v>
      </c>
      <c r="AQ34" s="155">
        <v>0</v>
      </c>
      <c r="AR34" s="145">
        <v>0</v>
      </c>
      <c r="AS34" s="148" t="s">
        <v>198</v>
      </c>
      <c r="AT34" s="142" t="s">
        <v>192</v>
      </c>
      <c r="AU34" s="142">
        <v>2004</v>
      </c>
      <c r="AV34" s="142">
        <v>2027</v>
      </c>
      <c r="AW34" s="156">
        <v>0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5">
        <v>0</v>
      </c>
      <c r="BD34" s="98"/>
      <c r="BE34" s="92"/>
      <c r="BF34" s="92"/>
    </row>
    <row r="35" spans="1:58" s="94" customFormat="1" ht="16.5" customHeight="1">
      <c r="A35" s="282" t="s">
        <v>199</v>
      </c>
      <c r="B35" s="282"/>
      <c r="C35" s="282"/>
      <c r="D35" s="282"/>
      <c r="E35" s="164">
        <f t="shared" ref="E35:J35" si="126">+E36</f>
        <v>786054</v>
      </c>
      <c r="F35" s="164">
        <f t="shared" si="126"/>
        <v>29200</v>
      </c>
      <c r="G35" s="164">
        <f t="shared" si="126"/>
        <v>29200</v>
      </c>
      <c r="H35" s="164">
        <f t="shared" si="126"/>
        <v>29100</v>
      </c>
      <c r="I35" s="164">
        <f t="shared" si="126"/>
        <v>29000</v>
      </c>
      <c r="J35" s="201">
        <f t="shared" si="126"/>
        <v>28700</v>
      </c>
      <c r="K35" s="165">
        <f>+K36</f>
        <v>28200</v>
      </c>
      <c r="L35" s="281" t="s">
        <v>199</v>
      </c>
      <c r="M35" s="282"/>
      <c r="N35" s="282"/>
      <c r="O35" s="282"/>
      <c r="P35" s="164">
        <f t="shared" ref="P35:T35" si="127">+P36</f>
        <v>27600</v>
      </c>
      <c r="Q35" s="164">
        <f t="shared" si="127"/>
        <v>27000</v>
      </c>
      <c r="R35" s="164">
        <f t="shared" si="127"/>
        <v>26400</v>
      </c>
      <c r="S35" s="164">
        <f t="shared" si="127"/>
        <v>25500</v>
      </c>
      <c r="T35" s="164">
        <f t="shared" si="127"/>
        <v>24700</v>
      </c>
      <c r="U35" s="201">
        <f>+U36</f>
        <v>23700</v>
      </c>
      <c r="V35" s="165">
        <f>+V36</f>
        <v>22700</v>
      </c>
      <c r="W35" s="281" t="s">
        <v>199</v>
      </c>
      <c r="X35" s="282"/>
      <c r="Y35" s="282"/>
      <c r="Z35" s="282"/>
      <c r="AA35" s="164">
        <f>+AA36</f>
        <v>21700</v>
      </c>
      <c r="AB35" s="164">
        <f t="shared" ref="AB35:AD35" si="128">+AB36</f>
        <v>20600</v>
      </c>
      <c r="AC35" s="164">
        <f t="shared" si="128"/>
        <v>19600</v>
      </c>
      <c r="AD35" s="164">
        <f t="shared" si="128"/>
        <v>18700</v>
      </c>
      <c r="AE35" s="164">
        <f>+AE36</f>
        <v>17900</v>
      </c>
      <c r="AF35" s="201">
        <f>+AF36</f>
        <v>17100</v>
      </c>
      <c r="AG35" s="165">
        <f>+AG36</f>
        <v>16200</v>
      </c>
      <c r="AH35" s="281" t="s">
        <v>199</v>
      </c>
      <c r="AI35" s="282"/>
      <c r="AJ35" s="282"/>
      <c r="AK35" s="282"/>
      <c r="AL35" s="164">
        <f>+AL36</f>
        <v>15400</v>
      </c>
      <c r="AM35" s="164">
        <f>+AM36</f>
        <v>14857</v>
      </c>
      <c r="AN35" s="164">
        <f t="shared" ref="AN35:AW35" si="129">+AN36</f>
        <v>14200</v>
      </c>
      <c r="AO35" s="164">
        <f>+AO36</f>
        <v>12200</v>
      </c>
      <c r="AP35" s="164">
        <f>+AP36</f>
        <v>11700</v>
      </c>
      <c r="AQ35" s="201">
        <f>+AQ36</f>
        <v>11300</v>
      </c>
      <c r="AR35" s="165">
        <f>+AR36</f>
        <v>11200</v>
      </c>
      <c r="AS35" s="281" t="s">
        <v>199</v>
      </c>
      <c r="AT35" s="282"/>
      <c r="AU35" s="282"/>
      <c r="AV35" s="282"/>
      <c r="AW35" s="164">
        <f t="shared" si="129"/>
        <v>11200</v>
      </c>
      <c r="AX35" s="164">
        <f>+AX36</f>
        <v>11000</v>
      </c>
      <c r="AY35" s="164">
        <f>+AY36</f>
        <v>11000</v>
      </c>
      <c r="AZ35" s="164">
        <f>+AZ36</f>
        <v>10067</v>
      </c>
      <c r="BA35" s="164">
        <f>+BA36</f>
        <v>10000</v>
      </c>
      <c r="BB35" s="164">
        <f>+BB36</f>
        <v>10000</v>
      </c>
      <c r="BC35" s="139">
        <f>SUM(BC36)</f>
        <v>0</v>
      </c>
      <c r="BD35" s="93"/>
    </row>
    <row r="36" spans="1:58" s="91" customFormat="1" ht="16.5" customHeight="1">
      <c r="A36" s="280" t="s">
        <v>184</v>
      </c>
      <c r="B36" s="280"/>
      <c r="C36" s="280"/>
      <c r="D36" s="280"/>
      <c r="E36" s="129">
        <f>SUM(E37,E38)</f>
        <v>786054</v>
      </c>
      <c r="F36" s="129">
        <f t="shared" ref="F36:J36" si="130">SUM(F37,F38)</f>
        <v>29200</v>
      </c>
      <c r="G36" s="129">
        <f t="shared" si="130"/>
        <v>29200</v>
      </c>
      <c r="H36" s="129">
        <f t="shared" si="130"/>
        <v>29100</v>
      </c>
      <c r="I36" s="129">
        <f t="shared" si="130"/>
        <v>29000</v>
      </c>
      <c r="J36" s="188">
        <f t="shared" si="130"/>
        <v>28700</v>
      </c>
      <c r="K36" s="130">
        <f>SUM(K37,K38)</f>
        <v>28200</v>
      </c>
      <c r="L36" s="279" t="s">
        <v>184</v>
      </c>
      <c r="M36" s="280"/>
      <c r="N36" s="280"/>
      <c r="O36" s="280"/>
      <c r="P36" s="129">
        <f>SUM(P37,P38)</f>
        <v>27600</v>
      </c>
      <c r="Q36" s="129">
        <f t="shared" ref="Q36:T36" si="131">SUM(Q37,Q38)</f>
        <v>27000</v>
      </c>
      <c r="R36" s="129">
        <f t="shared" si="131"/>
        <v>26400</v>
      </c>
      <c r="S36" s="129">
        <f t="shared" si="131"/>
        <v>25500</v>
      </c>
      <c r="T36" s="129">
        <f t="shared" si="131"/>
        <v>24700</v>
      </c>
      <c r="U36" s="188">
        <f>SUM(U37,U38)</f>
        <v>23700</v>
      </c>
      <c r="V36" s="130">
        <f>SUM(V37,V38)</f>
        <v>22700</v>
      </c>
      <c r="W36" s="279" t="s">
        <v>184</v>
      </c>
      <c r="X36" s="280"/>
      <c r="Y36" s="280"/>
      <c r="Z36" s="280"/>
      <c r="AA36" s="129">
        <f>SUM(AA37,AA38)</f>
        <v>21700</v>
      </c>
      <c r="AB36" s="129">
        <f>SUM(AB37,AB38)</f>
        <v>20600</v>
      </c>
      <c r="AC36" s="129">
        <f t="shared" ref="AC36:AD36" si="132">SUM(AC37,AC38)</f>
        <v>19600</v>
      </c>
      <c r="AD36" s="129">
        <f t="shared" si="132"/>
        <v>18700</v>
      </c>
      <c r="AE36" s="129">
        <f>SUM(AE37,AE38)</f>
        <v>17900</v>
      </c>
      <c r="AF36" s="188">
        <f>SUM(AF37,AF38)</f>
        <v>17100</v>
      </c>
      <c r="AG36" s="130">
        <f>SUM(AG37,AG38)</f>
        <v>16200</v>
      </c>
      <c r="AH36" s="279" t="s">
        <v>184</v>
      </c>
      <c r="AI36" s="280"/>
      <c r="AJ36" s="280"/>
      <c r="AK36" s="280"/>
      <c r="AL36" s="129">
        <f t="shared" ref="AL36:AQ36" si="133">SUM(AL37,AL38)</f>
        <v>15400</v>
      </c>
      <c r="AM36" s="129">
        <f t="shared" si="133"/>
        <v>14857</v>
      </c>
      <c r="AN36" s="129">
        <f t="shared" si="133"/>
        <v>14200</v>
      </c>
      <c r="AO36" s="129">
        <f t="shared" si="133"/>
        <v>12200</v>
      </c>
      <c r="AP36" s="129">
        <f t="shared" si="133"/>
        <v>11700</v>
      </c>
      <c r="AQ36" s="188">
        <f t="shared" si="133"/>
        <v>11300</v>
      </c>
      <c r="AR36" s="130">
        <f>SUM(AR37,AR38)</f>
        <v>11200</v>
      </c>
      <c r="AS36" s="279" t="s">
        <v>184</v>
      </c>
      <c r="AT36" s="280"/>
      <c r="AU36" s="280"/>
      <c r="AV36" s="280"/>
      <c r="AW36" s="129">
        <f t="shared" ref="AW36:AX36" si="134">SUM(AW37,AW38)</f>
        <v>11200</v>
      </c>
      <c r="AX36" s="129">
        <f t="shared" si="134"/>
        <v>11000</v>
      </c>
      <c r="AY36" s="129">
        <f>SUM(AY37,AY38)</f>
        <v>11000</v>
      </c>
      <c r="AZ36" s="129">
        <f>SUM(AZ37,AZ38)</f>
        <v>10067</v>
      </c>
      <c r="BA36" s="129">
        <f>SUM(BA37,BA38)</f>
        <v>10000</v>
      </c>
      <c r="BB36" s="129">
        <f>SUM(BB37,BB38)</f>
        <v>10000</v>
      </c>
      <c r="BC36" s="130">
        <f t="shared" ref="BC36" si="135">SUM(BC37,BC38)</f>
        <v>0</v>
      </c>
      <c r="BD36" s="90"/>
    </row>
    <row r="37" spans="1:58" s="91" customFormat="1" ht="36" customHeight="1">
      <c r="A37" s="147" t="s">
        <v>233</v>
      </c>
      <c r="B37" s="142" t="s">
        <v>192</v>
      </c>
      <c r="C37" s="142">
        <v>1999</v>
      </c>
      <c r="D37" s="142">
        <v>2045</v>
      </c>
      <c r="E37" s="129">
        <v>700000</v>
      </c>
      <c r="F37" s="129">
        <v>25100</v>
      </c>
      <c r="G37" s="129">
        <v>25100</v>
      </c>
      <c r="H37" s="144">
        <v>25000</v>
      </c>
      <c r="I37" s="144">
        <v>24900</v>
      </c>
      <c r="J37" s="155">
        <v>24600</v>
      </c>
      <c r="K37" s="145">
        <v>24200</v>
      </c>
      <c r="L37" s="148" t="s">
        <v>233</v>
      </c>
      <c r="M37" s="142" t="s">
        <v>192</v>
      </c>
      <c r="N37" s="142">
        <v>1999</v>
      </c>
      <c r="O37" s="142">
        <v>2045</v>
      </c>
      <c r="P37" s="144">
        <v>23700</v>
      </c>
      <c r="Q37" s="144">
        <v>23400</v>
      </c>
      <c r="R37" s="144">
        <v>23000</v>
      </c>
      <c r="S37" s="144">
        <v>22300</v>
      </c>
      <c r="T37" s="144">
        <v>21600</v>
      </c>
      <c r="U37" s="155">
        <v>20800</v>
      </c>
      <c r="V37" s="145">
        <v>19900</v>
      </c>
      <c r="W37" s="148" t="s">
        <v>233</v>
      </c>
      <c r="X37" s="142" t="s">
        <v>192</v>
      </c>
      <c r="Y37" s="142">
        <v>1999</v>
      </c>
      <c r="Z37" s="142">
        <v>2045</v>
      </c>
      <c r="AA37" s="144">
        <v>18900</v>
      </c>
      <c r="AB37" s="144">
        <v>18000</v>
      </c>
      <c r="AC37" s="144">
        <v>17100</v>
      </c>
      <c r="AD37" s="144">
        <v>16300</v>
      </c>
      <c r="AE37" s="144">
        <v>15500</v>
      </c>
      <c r="AF37" s="155">
        <v>14800</v>
      </c>
      <c r="AG37" s="145">
        <v>14000</v>
      </c>
      <c r="AH37" s="148" t="s">
        <v>233</v>
      </c>
      <c r="AI37" s="142" t="s">
        <v>192</v>
      </c>
      <c r="AJ37" s="142">
        <v>1999</v>
      </c>
      <c r="AK37" s="142">
        <v>2045</v>
      </c>
      <c r="AL37" s="144">
        <v>13300</v>
      </c>
      <c r="AM37" s="144">
        <v>12700</v>
      </c>
      <c r="AN37" s="144">
        <v>14200</v>
      </c>
      <c r="AO37" s="144">
        <v>12200</v>
      </c>
      <c r="AP37" s="144">
        <v>11700</v>
      </c>
      <c r="AQ37" s="155">
        <v>11300</v>
      </c>
      <c r="AR37" s="145">
        <v>11200</v>
      </c>
      <c r="AS37" s="148" t="s">
        <v>233</v>
      </c>
      <c r="AT37" s="142" t="s">
        <v>192</v>
      </c>
      <c r="AU37" s="142">
        <v>1999</v>
      </c>
      <c r="AV37" s="142">
        <v>2045</v>
      </c>
      <c r="AW37" s="144">
        <v>11200</v>
      </c>
      <c r="AX37" s="144">
        <v>11000</v>
      </c>
      <c r="AY37" s="144">
        <v>11000</v>
      </c>
      <c r="AZ37" s="144">
        <v>10067</v>
      </c>
      <c r="BA37" s="144">
        <v>10000</v>
      </c>
      <c r="BB37" s="144">
        <v>10000</v>
      </c>
      <c r="BC37" s="122">
        <v>0</v>
      </c>
      <c r="BD37" s="124"/>
    </row>
    <row r="38" spans="1:58" s="91" customFormat="1" ht="36" customHeight="1">
      <c r="A38" s="157" t="s">
        <v>234</v>
      </c>
      <c r="B38" s="158" t="s">
        <v>192</v>
      </c>
      <c r="C38" s="158">
        <v>2001</v>
      </c>
      <c r="D38" s="158">
        <v>2034</v>
      </c>
      <c r="E38" s="159">
        <v>86054</v>
      </c>
      <c r="F38" s="159">
        <v>4100</v>
      </c>
      <c r="G38" s="159">
        <v>4100</v>
      </c>
      <c r="H38" s="160">
        <v>4100</v>
      </c>
      <c r="I38" s="160">
        <v>4100</v>
      </c>
      <c r="J38" s="202">
        <v>4100</v>
      </c>
      <c r="K38" s="161">
        <v>4000</v>
      </c>
      <c r="L38" s="162" t="s">
        <v>234</v>
      </c>
      <c r="M38" s="158" t="s">
        <v>192</v>
      </c>
      <c r="N38" s="158">
        <v>2001</v>
      </c>
      <c r="O38" s="158">
        <v>2034</v>
      </c>
      <c r="P38" s="160">
        <v>3900</v>
      </c>
      <c r="Q38" s="160">
        <v>3600</v>
      </c>
      <c r="R38" s="160">
        <v>3400</v>
      </c>
      <c r="S38" s="160">
        <v>3200</v>
      </c>
      <c r="T38" s="160">
        <v>3100</v>
      </c>
      <c r="U38" s="202">
        <v>2900</v>
      </c>
      <c r="V38" s="161">
        <v>2800</v>
      </c>
      <c r="W38" s="162" t="s">
        <v>234</v>
      </c>
      <c r="X38" s="158" t="s">
        <v>192</v>
      </c>
      <c r="Y38" s="158">
        <v>2001</v>
      </c>
      <c r="Z38" s="158">
        <v>2034</v>
      </c>
      <c r="AA38" s="160">
        <v>2800</v>
      </c>
      <c r="AB38" s="160">
        <v>2600</v>
      </c>
      <c r="AC38" s="160">
        <v>2500</v>
      </c>
      <c r="AD38" s="160">
        <v>2400</v>
      </c>
      <c r="AE38" s="160">
        <v>2400</v>
      </c>
      <c r="AF38" s="202">
        <v>2300</v>
      </c>
      <c r="AG38" s="161">
        <v>2200</v>
      </c>
      <c r="AH38" s="162" t="s">
        <v>234</v>
      </c>
      <c r="AI38" s="158" t="s">
        <v>192</v>
      </c>
      <c r="AJ38" s="158">
        <v>2001</v>
      </c>
      <c r="AK38" s="158">
        <v>2034</v>
      </c>
      <c r="AL38" s="160">
        <v>2100</v>
      </c>
      <c r="AM38" s="160">
        <v>2157</v>
      </c>
      <c r="AN38" s="160">
        <v>0</v>
      </c>
      <c r="AO38" s="160">
        <v>0</v>
      </c>
      <c r="AP38" s="160">
        <v>0</v>
      </c>
      <c r="AQ38" s="202">
        <v>0</v>
      </c>
      <c r="AR38" s="161">
        <v>0</v>
      </c>
      <c r="AS38" s="162" t="s">
        <v>234</v>
      </c>
      <c r="AT38" s="158" t="s">
        <v>192</v>
      </c>
      <c r="AU38" s="158">
        <v>2001</v>
      </c>
      <c r="AV38" s="158">
        <v>2034</v>
      </c>
      <c r="AW38" s="160">
        <v>0</v>
      </c>
      <c r="AX38" s="160">
        <v>0</v>
      </c>
      <c r="AY38" s="160">
        <v>0</v>
      </c>
      <c r="AZ38" s="160">
        <v>0</v>
      </c>
      <c r="BA38" s="160">
        <v>0</v>
      </c>
      <c r="BB38" s="160">
        <v>0</v>
      </c>
      <c r="BC38" s="163">
        <v>0</v>
      </c>
      <c r="BD38" s="124"/>
    </row>
    <row r="39" spans="1:58">
      <c r="A39" s="100"/>
      <c r="B39" s="101"/>
      <c r="D39" s="102"/>
      <c r="F39" s="104"/>
      <c r="H39" s="102"/>
      <c r="L39" s="100"/>
      <c r="M39" s="101"/>
      <c r="N39" s="102"/>
      <c r="O39" s="103"/>
      <c r="W39" s="100"/>
      <c r="X39" s="101"/>
      <c r="Y39" s="102"/>
      <c r="Z39" s="103"/>
      <c r="AH39" s="100"/>
      <c r="AI39" s="101"/>
      <c r="AJ39" s="102"/>
      <c r="AK39" s="103"/>
      <c r="AS39" s="100"/>
      <c r="AT39" s="101"/>
      <c r="AU39" s="102"/>
      <c r="AV39" s="103"/>
      <c r="BA39" s="170"/>
      <c r="BD39" s="125"/>
    </row>
    <row r="40" spans="1:58">
      <c r="A40" s="100"/>
      <c r="B40" s="101"/>
      <c r="C40" s="100"/>
      <c r="D40" s="102"/>
      <c r="E40" s="103"/>
      <c r="F40" s="104"/>
      <c r="L40" s="100"/>
      <c r="M40" s="101"/>
      <c r="N40" s="102"/>
      <c r="O40" s="102"/>
      <c r="W40" s="100"/>
      <c r="X40" s="101"/>
      <c r="Y40" s="102"/>
      <c r="Z40" s="102"/>
      <c r="AH40" s="100"/>
      <c r="AI40" s="101"/>
      <c r="AJ40" s="102"/>
      <c r="AK40" s="102"/>
      <c r="AS40" s="100"/>
      <c r="AT40" s="101"/>
      <c r="AU40" s="102"/>
      <c r="AV40" s="102"/>
      <c r="BD40" s="98"/>
    </row>
    <row r="41" spans="1:58">
      <c r="B41" s="101"/>
      <c r="C41" s="100"/>
      <c r="D41" s="100"/>
      <c r="E41" s="100"/>
      <c r="L41" s="100"/>
      <c r="M41" s="101"/>
      <c r="N41" s="100"/>
      <c r="O41" s="100"/>
      <c r="W41" s="100"/>
      <c r="X41" s="101"/>
      <c r="Y41" s="100"/>
      <c r="Z41" s="100"/>
      <c r="AH41" s="100"/>
      <c r="AI41" s="101"/>
      <c r="AJ41" s="100"/>
      <c r="AK41" s="100"/>
      <c r="AS41" s="100"/>
      <c r="AT41" s="101"/>
      <c r="AU41" s="100"/>
      <c r="AV41" s="100"/>
      <c r="BA41" s="170"/>
      <c r="BD41" s="98"/>
    </row>
    <row r="42" spans="1:58">
      <c r="B42" s="108"/>
      <c r="BD42" s="98"/>
    </row>
    <row r="43" spans="1:58">
      <c r="B43" s="108"/>
    </row>
    <row r="44" spans="1:58">
      <c r="B44" s="108"/>
    </row>
  </sheetData>
  <mergeCells count="139">
    <mergeCell ref="AS3:BC3"/>
    <mergeCell ref="A25:K25"/>
    <mergeCell ref="AS25:BC25"/>
    <mergeCell ref="AH35:AK35"/>
    <mergeCell ref="AS4:AS5"/>
    <mergeCell ref="AT4:AT5"/>
    <mergeCell ref="AU4:AV4"/>
    <mergeCell ref="AS7:AV7"/>
    <mergeCell ref="AS10:AV10"/>
    <mergeCell ref="BA26:BA27"/>
    <mergeCell ref="BB26:BB27"/>
    <mergeCell ref="AD26:AD27"/>
    <mergeCell ref="AE26:AE27"/>
    <mergeCell ref="AW26:AW27"/>
    <mergeCell ref="AX26:AX27"/>
    <mergeCell ref="AY26:AY27"/>
    <mergeCell ref="AJ26:AK26"/>
    <mergeCell ref="AN26:AN27"/>
    <mergeCell ref="AO26:AO27"/>
    <mergeCell ref="AP26:AP27"/>
    <mergeCell ref="AQ26:AQ27"/>
    <mergeCell ref="AR26:AR27"/>
    <mergeCell ref="AF26:AF27"/>
    <mergeCell ref="AG26:AG27"/>
    <mergeCell ref="A36:D36"/>
    <mergeCell ref="L36:O36"/>
    <mergeCell ref="W36:Z36"/>
    <mergeCell ref="AH36:AK36"/>
    <mergeCell ref="AS35:AV35"/>
    <mergeCell ref="AS36:AV36"/>
    <mergeCell ref="AS20:AV20"/>
    <mergeCell ref="AS26:AS27"/>
    <mergeCell ref="AT26:AT27"/>
    <mergeCell ref="AU26:AV26"/>
    <mergeCell ref="S26:S27"/>
    <mergeCell ref="T26:T27"/>
    <mergeCell ref="U26:U27"/>
    <mergeCell ref="V26:V27"/>
    <mergeCell ref="AA26:AA27"/>
    <mergeCell ref="W26:W27"/>
    <mergeCell ref="A35:D35"/>
    <mergeCell ref="L35:O35"/>
    <mergeCell ref="W35:Z35"/>
    <mergeCell ref="AI26:AI27"/>
    <mergeCell ref="X26:X27"/>
    <mergeCell ref="Y26:Z26"/>
    <mergeCell ref="AB26:AB27"/>
    <mergeCell ref="AC26:AC27"/>
    <mergeCell ref="A20:D20"/>
    <mergeCell ref="L20:O20"/>
    <mergeCell ref="W20:Z20"/>
    <mergeCell ref="AH20:AK20"/>
    <mergeCell ref="A26:A27"/>
    <mergeCell ref="B26:B27"/>
    <mergeCell ref="C26:D26"/>
    <mergeCell ref="E26:E27"/>
    <mergeCell ref="N26:O26"/>
    <mergeCell ref="P26:P27"/>
    <mergeCell ref="Q26:Q27"/>
    <mergeCell ref="R26:R27"/>
    <mergeCell ref="F26:F27"/>
    <mergeCell ref="G26:G27"/>
    <mergeCell ref="H26:H27"/>
    <mergeCell ref="I26:I27"/>
    <mergeCell ref="J26:J27"/>
    <mergeCell ref="K26:K27"/>
    <mergeCell ref="L26:L27"/>
    <mergeCell ref="M26:M27"/>
    <mergeCell ref="AH26:AH27"/>
    <mergeCell ref="A7:D7"/>
    <mergeCell ref="L7:O7"/>
    <mergeCell ref="W7:Z7"/>
    <mergeCell ref="AH7:AK7"/>
    <mergeCell ref="A10:D10"/>
    <mergeCell ref="L10:O10"/>
    <mergeCell ref="W10:Z10"/>
    <mergeCell ref="AH10:AK10"/>
    <mergeCell ref="A13:D13"/>
    <mergeCell ref="L13:O13"/>
    <mergeCell ref="W13:Z13"/>
    <mergeCell ref="AH13:AK13"/>
    <mergeCell ref="BC4:BC5"/>
    <mergeCell ref="AX4:AX5"/>
    <mergeCell ref="AY4:AY5"/>
    <mergeCell ref="AZ4:AZ5"/>
    <mergeCell ref="AN4:AN5"/>
    <mergeCell ref="AO4:AO5"/>
    <mergeCell ref="AP4:AP5"/>
    <mergeCell ref="AQ4:AQ5"/>
    <mergeCell ref="AR4:AR5"/>
    <mergeCell ref="AW4:AW5"/>
    <mergeCell ref="BC26:BC27"/>
    <mergeCell ref="AZ26:AZ27"/>
    <mergeCell ref="AL26:AL27"/>
    <mergeCell ref="AM26:AM27"/>
    <mergeCell ref="H4:H5"/>
    <mergeCell ref="I4:I5"/>
    <mergeCell ref="AM4:AM5"/>
    <mergeCell ref="AH4:AH5"/>
    <mergeCell ref="AI4:AI5"/>
    <mergeCell ref="AJ4:AK4"/>
    <mergeCell ref="Y4:Z4"/>
    <mergeCell ref="AB4:AB5"/>
    <mergeCell ref="AC4:AC5"/>
    <mergeCell ref="AD4:AD5"/>
    <mergeCell ref="AE4:AE5"/>
    <mergeCell ref="AF4:AF5"/>
    <mergeCell ref="AG4:AG5"/>
    <mergeCell ref="AL4:AL5"/>
    <mergeCell ref="P4:P5"/>
    <mergeCell ref="Q4:Q5"/>
    <mergeCell ref="R4:R5"/>
    <mergeCell ref="AS13:AV13"/>
    <mergeCell ref="BA4:BA5"/>
    <mergeCell ref="BB4:BB5"/>
    <mergeCell ref="A4:A5"/>
    <mergeCell ref="B4:B5"/>
    <mergeCell ref="C4:D4"/>
    <mergeCell ref="L3:V3"/>
    <mergeCell ref="W3:AG3"/>
    <mergeCell ref="AH3:AR3"/>
    <mergeCell ref="L25:V25"/>
    <mergeCell ref="W25:AG25"/>
    <mergeCell ref="AH25:AR25"/>
    <mergeCell ref="J4:J5"/>
    <mergeCell ref="K4:K5"/>
    <mergeCell ref="L4:L5"/>
    <mergeCell ref="T4:T5"/>
    <mergeCell ref="U4:U5"/>
    <mergeCell ref="V4:V5"/>
    <mergeCell ref="AA4:AA5"/>
    <mergeCell ref="W4:W5"/>
    <mergeCell ref="X4:X5"/>
    <mergeCell ref="M4:M5"/>
    <mergeCell ref="N4:O4"/>
    <mergeCell ref="S4:S5"/>
    <mergeCell ref="E4:E5"/>
    <mergeCell ref="F4:F5"/>
    <mergeCell ref="G4:G5"/>
  </mergeCells>
  <pageMargins left="0.19685039370078741" right="0.19685039370078741" top="0.70866141732283472" bottom="0.56999999999999995" header="0.31496062992125984" footer="0.38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G1" sqref="G1:G2"/>
    </sheetView>
  </sheetViews>
  <sheetFormatPr defaultRowHeight="14.25"/>
  <cols>
    <col min="1" max="1" width="58.625" style="79" customWidth="1"/>
    <col min="2" max="2" width="13" style="79" customWidth="1"/>
    <col min="3" max="4" width="5.625" style="79" customWidth="1"/>
    <col min="5" max="6" width="10.75" style="79" customWidth="1"/>
    <col min="7" max="7" width="10.75" style="99" customWidth="1"/>
    <col min="8" max="16384" width="9" style="79"/>
  </cols>
  <sheetData>
    <row r="1" spans="1:7" ht="15.75">
      <c r="A1" s="80"/>
      <c r="B1" s="78"/>
      <c r="G1" s="239" t="s">
        <v>303</v>
      </c>
    </row>
    <row r="2" spans="1:7" ht="15.75">
      <c r="A2" s="80"/>
      <c r="B2" s="78"/>
      <c r="G2" s="239" t="s">
        <v>239</v>
      </c>
    </row>
    <row r="3" spans="1:7" ht="15.75">
      <c r="A3" s="80"/>
      <c r="B3" s="78"/>
      <c r="G3" s="239"/>
    </row>
    <row r="4" spans="1:7" ht="15.75">
      <c r="A4" s="105" t="s">
        <v>200</v>
      </c>
      <c r="B4" s="78"/>
      <c r="G4" s="239"/>
    </row>
    <row r="5" spans="1:7" s="99" customFormat="1" ht="15.75">
      <c r="A5" s="105"/>
      <c r="B5" s="89"/>
      <c r="G5" s="236"/>
    </row>
    <row r="6" spans="1:7" s="99" customFormat="1" ht="12.75" customHeight="1">
      <c r="A6" s="257" t="s">
        <v>143</v>
      </c>
      <c r="B6" s="259" t="s">
        <v>144</v>
      </c>
      <c r="C6" s="261" t="s">
        <v>145</v>
      </c>
      <c r="D6" s="261"/>
      <c r="E6" s="259" t="s">
        <v>146</v>
      </c>
      <c r="F6" s="284" t="s">
        <v>201</v>
      </c>
      <c r="G6" s="287" t="s">
        <v>180</v>
      </c>
    </row>
    <row r="7" spans="1:7" s="99" customFormat="1" ht="24.75" customHeight="1">
      <c r="A7" s="257"/>
      <c r="B7" s="259"/>
      <c r="C7" s="106" t="s">
        <v>181</v>
      </c>
      <c r="D7" s="106" t="s">
        <v>182</v>
      </c>
      <c r="E7" s="259"/>
      <c r="F7" s="284"/>
      <c r="G7" s="287"/>
    </row>
    <row r="8" spans="1:7" s="99" customFormat="1" ht="16.5" customHeight="1">
      <c r="A8" s="175" t="s">
        <v>183</v>
      </c>
      <c r="B8" s="177"/>
      <c r="C8" s="177"/>
      <c r="D8" s="167"/>
      <c r="E8" s="138">
        <f>+E9+E10</f>
        <v>20150093</v>
      </c>
      <c r="F8" s="138">
        <f>SUM(F9,F10)</f>
        <v>17240260</v>
      </c>
      <c r="G8" s="197">
        <f>SUM(G9,G10)</f>
        <v>0</v>
      </c>
    </row>
    <row r="9" spans="1:7" s="99" customFormat="1" ht="16.5" customHeight="1">
      <c r="A9" s="280" t="s">
        <v>184</v>
      </c>
      <c r="B9" s="280"/>
      <c r="C9" s="280"/>
      <c r="D9" s="280"/>
      <c r="E9" s="133">
        <f>+E12+E22+E37</f>
        <v>2131014</v>
      </c>
      <c r="F9" s="133">
        <f>+F12+F22+F37</f>
        <v>1592260</v>
      </c>
      <c r="G9" s="195">
        <f>SUM(G12,G22,G37)</f>
        <v>0</v>
      </c>
    </row>
    <row r="10" spans="1:7" s="99" customFormat="1" ht="16.5" customHeight="1">
      <c r="A10" s="174" t="s">
        <v>185</v>
      </c>
      <c r="B10" s="176"/>
      <c r="C10" s="176"/>
      <c r="D10" s="176"/>
      <c r="E10" s="133">
        <f>+E13+E34</f>
        <v>18019079</v>
      </c>
      <c r="F10" s="133">
        <f>SUM(F13,F34)</f>
        <v>15648000</v>
      </c>
      <c r="G10" s="214">
        <f>SUM(G13,G34)</f>
        <v>0</v>
      </c>
    </row>
    <row r="11" spans="1:7" s="99" customFormat="1" ht="16.5" customHeight="1">
      <c r="A11" s="175" t="s">
        <v>186</v>
      </c>
      <c r="B11" s="177"/>
      <c r="C11" s="177"/>
      <c r="D11" s="177"/>
      <c r="E11" s="138">
        <f>SUM(E12:E13)</f>
        <v>876122</v>
      </c>
      <c r="F11" s="138">
        <f>SUM(F12,F13)</f>
        <v>519470</v>
      </c>
      <c r="G11" s="197">
        <f>SUM(G12,G13)</f>
        <v>0</v>
      </c>
    </row>
    <row r="12" spans="1:7" s="99" customFormat="1" ht="16.5" customHeight="1">
      <c r="A12" s="280" t="s">
        <v>184</v>
      </c>
      <c r="B12" s="280"/>
      <c r="C12" s="280"/>
      <c r="D12" s="280"/>
      <c r="E12" s="127">
        <f>+E15</f>
        <v>867122</v>
      </c>
      <c r="F12" s="127">
        <f>+F15</f>
        <v>510470</v>
      </c>
      <c r="G12" s="195">
        <f>SUM(G15)</f>
        <v>0</v>
      </c>
    </row>
    <row r="13" spans="1:7" s="99" customFormat="1" ht="16.5" customHeight="1">
      <c r="A13" s="174" t="s">
        <v>185</v>
      </c>
      <c r="B13" s="176"/>
      <c r="C13" s="176"/>
      <c r="D13" s="132"/>
      <c r="E13" s="133">
        <f>+E19</f>
        <v>9000</v>
      </c>
      <c r="F13" s="133">
        <f>SUM(F19)</f>
        <v>9000</v>
      </c>
      <c r="G13" s="214">
        <f>SUM(G19)</f>
        <v>0</v>
      </c>
    </row>
    <row r="14" spans="1:7" s="99" customFormat="1" ht="30" customHeight="1">
      <c r="A14" s="178" t="s">
        <v>187</v>
      </c>
      <c r="B14" s="179"/>
      <c r="C14" s="179"/>
      <c r="D14" s="171"/>
      <c r="E14" s="138">
        <f>+E15+E19</f>
        <v>876122</v>
      </c>
      <c r="F14" s="138">
        <f>+F15+F19</f>
        <v>519470</v>
      </c>
      <c r="G14" s="197">
        <f>SUM(G15,G19)</f>
        <v>0</v>
      </c>
    </row>
    <row r="15" spans="1:7" s="99" customFormat="1" ht="16.5" customHeight="1">
      <c r="A15" s="280" t="s">
        <v>188</v>
      </c>
      <c r="B15" s="280"/>
      <c r="C15" s="280"/>
      <c r="D15" s="280"/>
      <c r="E15" s="127">
        <f>SUM(E16,E17,E18)</f>
        <v>867122</v>
      </c>
      <c r="F15" s="133">
        <f>SUM(F16,F17,F18)</f>
        <v>510470</v>
      </c>
      <c r="G15" s="107">
        <f>SUM(G16,G17,G18)</f>
        <v>0</v>
      </c>
    </row>
    <row r="16" spans="1:7" s="99" customFormat="1" ht="30" customHeight="1">
      <c r="A16" s="140" t="s">
        <v>189</v>
      </c>
      <c r="B16" s="141" t="s">
        <v>190</v>
      </c>
      <c r="C16" s="142">
        <v>2011</v>
      </c>
      <c r="D16" s="143">
        <v>2013</v>
      </c>
      <c r="E16" s="133">
        <f>SUM('Zał.2 Przeds.'!E14)</f>
        <v>80593</v>
      </c>
      <c r="F16" s="144">
        <f>SUM('Zał.2 Przeds.'!F14:F14)</f>
        <v>16120</v>
      </c>
      <c r="G16" s="195">
        <f>SUM('Zał.2 Przeds.'!BC14)</f>
        <v>0</v>
      </c>
    </row>
    <row r="17" spans="1:7" s="99" customFormat="1" ht="30" customHeight="1">
      <c r="A17" s="140" t="s">
        <v>203</v>
      </c>
      <c r="B17" s="141" t="s">
        <v>204</v>
      </c>
      <c r="C17" s="142">
        <v>2012</v>
      </c>
      <c r="D17" s="143">
        <v>2014</v>
      </c>
      <c r="E17" s="133">
        <f>SUM('Zał.2 Przeds.'!E15)</f>
        <v>583500</v>
      </c>
      <c r="F17" s="144">
        <f>SUM('Zał.2 Przeds.'!F15:G15)</f>
        <v>381000</v>
      </c>
      <c r="G17" s="195">
        <f>SUM('Zał.2 Przeds.'!BC15)</f>
        <v>0</v>
      </c>
    </row>
    <row r="18" spans="1:7" s="99" customFormat="1" ht="30" customHeight="1">
      <c r="A18" s="140" t="s">
        <v>231</v>
      </c>
      <c r="B18" s="141" t="s">
        <v>230</v>
      </c>
      <c r="C18" s="142">
        <v>2012</v>
      </c>
      <c r="D18" s="143">
        <v>2013</v>
      </c>
      <c r="E18" s="133">
        <f>SUM('Zał.2 Przeds.'!E16)</f>
        <v>203029</v>
      </c>
      <c r="F18" s="144">
        <f>SUM('Zał.2 Przeds.'!F16:G16)</f>
        <v>113350</v>
      </c>
      <c r="G18" s="195">
        <f>SUM('Zał.2 Przeds.'!BC16)</f>
        <v>0</v>
      </c>
    </row>
    <row r="19" spans="1:7" s="99" customFormat="1" ht="16.5" customHeight="1">
      <c r="A19" s="174" t="s">
        <v>191</v>
      </c>
      <c r="B19" s="176"/>
      <c r="C19" s="176"/>
      <c r="D19" s="132"/>
      <c r="E19" s="133">
        <f>+E20</f>
        <v>9000</v>
      </c>
      <c r="F19" s="133">
        <f>SUM(F20)</f>
        <v>9000</v>
      </c>
      <c r="G19" s="107">
        <f>SUM(G20)</f>
        <v>0</v>
      </c>
    </row>
    <row r="20" spans="1:7" s="120" customFormat="1" ht="30" customHeight="1">
      <c r="A20" s="140" t="s">
        <v>203</v>
      </c>
      <c r="B20" s="141" t="s">
        <v>204</v>
      </c>
      <c r="C20" s="142">
        <v>2012</v>
      </c>
      <c r="D20" s="143">
        <v>2014</v>
      </c>
      <c r="E20" s="133">
        <f>SUM('Zał.2 Przeds.'!E18)</f>
        <v>9000</v>
      </c>
      <c r="F20" s="133">
        <f>SUM('Zał.2 Przeds.'!F18:K18,'Zał.2 Przeds.'!P18:V18,'Zał.2 Przeds.'!AA18:AG18,'Zał.2 Przeds.'!AL18:AR18,'Zał.2 Przeds.'!AW18:BB18)</f>
        <v>9000</v>
      </c>
      <c r="G20" s="195">
        <v>0</v>
      </c>
    </row>
    <row r="21" spans="1:7" s="99" customFormat="1" ht="39" customHeight="1">
      <c r="A21" s="180" t="s">
        <v>193</v>
      </c>
      <c r="B21" s="181"/>
      <c r="C21" s="181"/>
      <c r="D21" s="181"/>
      <c r="E21" s="138">
        <f>+E22+E34</f>
        <v>18487917</v>
      </c>
      <c r="F21" s="138">
        <f>SUM(F22,F34)</f>
        <v>16083866</v>
      </c>
      <c r="G21" s="197">
        <f>SUM(G22,G34)</f>
        <v>0</v>
      </c>
    </row>
    <row r="22" spans="1:7" s="99" customFormat="1" ht="16.5" customHeight="1">
      <c r="A22" s="280" t="s">
        <v>184</v>
      </c>
      <c r="B22" s="280"/>
      <c r="C22" s="280"/>
      <c r="D22" s="280"/>
      <c r="E22" s="133">
        <f>SUM(E23,E24,E29,E30,E31,E32,E33)</f>
        <v>477838</v>
      </c>
      <c r="F22" s="133">
        <f>SUM(F23,F24,F29,F30,F31,F32,F33)</f>
        <v>444866</v>
      </c>
      <c r="G22" s="107">
        <f>SUM(G23,G24,G29,G30,G31,G32,G33)</f>
        <v>0</v>
      </c>
    </row>
    <row r="23" spans="1:7" s="99" customFormat="1" ht="16.5" customHeight="1">
      <c r="A23" s="147" t="s">
        <v>194</v>
      </c>
      <c r="B23" s="142" t="s">
        <v>192</v>
      </c>
      <c r="C23" s="142">
        <v>2011</v>
      </c>
      <c r="D23" s="142">
        <v>2014</v>
      </c>
      <c r="E23" s="133">
        <f>SUM('Zał.2 Przeds.'!E21)</f>
        <v>7900</v>
      </c>
      <c r="F23" s="133">
        <f>SUM('Zał.2 Przeds.'!F21:K21,'Zał.2 Przeds.'!P21:V21,'Zał.2 Przeds.'!AA21:AG21,'Zał.2 Przeds.'!AL21:AR21,'Zał.2 Przeds.'!AW21:BB21)</f>
        <v>4000</v>
      </c>
      <c r="G23" s="195">
        <f>SUM('Zał.2 Przeds.'!BC21)</f>
        <v>0</v>
      </c>
    </row>
    <row r="24" spans="1:7" s="99" customFormat="1" ht="16.5" customHeight="1">
      <c r="A24" s="204" t="s">
        <v>195</v>
      </c>
      <c r="B24" s="205" t="s">
        <v>192</v>
      </c>
      <c r="C24" s="205">
        <v>2010</v>
      </c>
      <c r="D24" s="205">
        <v>2013</v>
      </c>
      <c r="E24" s="206">
        <f>SUM('Zał.2 Przeds.'!E22)</f>
        <v>18336</v>
      </c>
      <c r="F24" s="206">
        <f>SUM('Zał.2 Przeds.'!F22:K22,'Zał.2 Przeds.'!P22:V22,'Zał.2 Przeds.'!AA22:AG22,'Zał.2 Przeds.'!AL22:AR22,'Zał.2 Przeds.'!AW22:BB22)</f>
        <v>1476</v>
      </c>
      <c r="G24" s="215">
        <f>SUM('Zał.2 Przeds.'!BC22)</f>
        <v>0</v>
      </c>
    </row>
    <row r="25" spans="1:7" s="99" customFormat="1" ht="16.5" customHeight="1">
      <c r="A25" s="183"/>
      <c r="B25" s="184"/>
      <c r="C25" s="184"/>
      <c r="D25" s="184"/>
      <c r="E25" s="185"/>
      <c r="F25" s="185"/>
      <c r="G25" s="186"/>
    </row>
    <row r="26" spans="1:7" s="99" customFormat="1">
      <c r="A26" s="285" t="s">
        <v>132</v>
      </c>
      <c r="B26" s="286"/>
      <c r="C26" s="286"/>
      <c r="D26" s="286"/>
      <c r="E26" s="286"/>
      <c r="F26" s="286"/>
      <c r="G26" s="286"/>
    </row>
    <row r="27" spans="1:7" s="99" customFormat="1">
      <c r="A27" s="257" t="s">
        <v>143</v>
      </c>
      <c r="B27" s="259" t="s">
        <v>144</v>
      </c>
      <c r="C27" s="261" t="s">
        <v>145</v>
      </c>
      <c r="D27" s="261"/>
      <c r="E27" s="259" t="s">
        <v>146</v>
      </c>
      <c r="F27" s="284" t="s">
        <v>201</v>
      </c>
      <c r="G27" s="277" t="s">
        <v>180</v>
      </c>
    </row>
    <row r="28" spans="1:7" s="99" customFormat="1" ht="23.25" customHeight="1">
      <c r="A28" s="257"/>
      <c r="B28" s="259"/>
      <c r="C28" s="106" t="s">
        <v>181</v>
      </c>
      <c r="D28" s="106" t="s">
        <v>182</v>
      </c>
      <c r="E28" s="259"/>
      <c r="F28" s="284"/>
      <c r="G28" s="277"/>
    </row>
    <row r="29" spans="1:7" s="99" customFormat="1" ht="30" customHeight="1">
      <c r="A29" s="147" t="s">
        <v>196</v>
      </c>
      <c r="B29" s="142" t="s">
        <v>192</v>
      </c>
      <c r="C29" s="142">
        <v>2010</v>
      </c>
      <c r="D29" s="142">
        <v>2013</v>
      </c>
      <c r="E29" s="133">
        <f>SUM('Zał.2 Przeds.'!E28)</f>
        <v>6632</v>
      </c>
      <c r="F29" s="133">
        <f>SUM('Zał.2 Przeds.'!F28:K28,'Zał.2 Przeds.'!P28:V28,'Zał.2 Przeds.'!AA28:AG28,'Zał.2 Przeds.'!AL28:AR28,'Zał.2 Przeds.'!AW28:BB28)</f>
        <v>923</v>
      </c>
      <c r="G29" s="122">
        <f>SUM('Zał.2 Przeds.'!BC28)</f>
        <v>0</v>
      </c>
    </row>
    <row r="30" spans="1:7" s="99" customFormat="1" ht="30" customHeight="1">
      <c r="A30" s="147" t="s">
        <v>197</v>
      </c>
      <c r="B30" s="142" t="s">
        <v>192</v>
      </c>
      <c r="C30" s="142">
        <v>2010</v>
      </c>
      <c r="D30" s="142">
        <v>2013</v>
      </c>
      <c r="E30" s="133">
        <f>SUM('Zał.2 Przeds.'!E29)</f>
        <v>4420</v>
      </c>
      <c r="F30" s="133">
        <f>SUM('Zał.2 Przeds.'!F29:K29,'Zał.2 Przeds.'!P29:V29,'Zał.2 Przeds.'!AA29:AG29,'Zał.2 Przeds.'!AL29:AR29,'Zał.2 Przeds.'!AW29:BB29)</f>
        <v>492</v>
      </c>
      <c r="G30" s="122">
        <f>SUM('Zał.2 Przeds.'!BC29)</f>
        <v>0</v>
      </c>
    </row>
    <row r="31" spans="1:7" s="99" customFormat="1" ht="30" customHeight="1">
      <c r="A31" s="147" t="s">
        <v>229</v>
      </c>
      <c r="B31" s="142" t="s">
        <v>192</v>
      </c>
      <c r="C31" s="142">
        <v>2012</v>
      </c>
      <c r="D31" s="142">
        <v>2013</v>
      </c>
      <c r="E31" s="133">
        <f>SUM('Zał.2 Przeds.'!E30)</f>
        <v>3150</v>
      </c>
      <c r="F31" s="133">
        <f>SUM('Zał.2 Przeds.'!F30:K30,'Zał.2 Przeds.'!P30:V30,'Zał.2 Przeds.'!AA30:AG30,'Zał.2 Przeds.'!AL30:AR30,'Zał.2 Przeds.'!AW30:BB30)</f>
        <v>1575</v>
      </c>
      <c r="G31" s="122">
        <f>SUM('Zał.2 Przeds.'!BC30)</f>
        <v>0</v>
      </c>
    </row>
    <row r="32" spans="1:7" s="99" customFormat="1" ht="39" customHeight="1">
      <c r="A32" s="147" t="s">
        <v>232</v>
      </c>
      <c r="B32" s="142" t="s">
        <v>192</v>
      </c>
      <c r="C32" s="142">
        <v>2013</v>
      </c>
      <c r="D32" s="142">
        <v>2014</v>
      </c>
      <c r="E32" s="133">
        <f>SUM('Zał.2 Przeds.'!E31)</f>
        <v>435000</v>
      </c>
      <c r="F32" s="133">
        <f>SUM('Zał.2 Przeds.'!F31:K31,'Zał.2 Przeds.'!P31:V31,'Zał.2 Przeds.'!AA31:AG31,'Zał.2 Przeds.'!AL31:AR31,'Zał.2 Przeds.'!AW31:BB31)</f>
        <v>435000</v>
      </c>
      <c r="G32" s="122">
        <f>SUM('Zał.2 Przeds.'!BC31)</f>
        <v>0</v>
      </c>
    </row>
    <row r="33" spans="1:8" s="99" customFormat="1" ht="39" customHeight="1">
      <c r="A33" s="147" t="s">
        <v>240</v>
      </c>
      <c r="B33" s="182" t="s">
        <v>220</v>
      </c>
      <c r="C33" s="142">
        <v>2012</v>
      </c>
      <c r="D33" s="142">
        <v>2014</v>
      </c>
      <c r="E33" s="133">
        <f>SUM('Zał.2 Przeds.'!E32)</f>
        <v>2400</v>
      </c>
      <c r="F33" s="133">
        <f>SUM('Zał.2 Przeds.'!F32:K32,'Zał.2 Przeds.'!P32:V32,'Zał.2 Przeds.'!AA32:AG32,'Zał.2 Przeds.'!AL32:AR32,'Zał.2 Przeds.'!AW32:BB32)</f>
        <v>1400</v>
      </c>
      <c r="G33" s="122">
        <f>SUM('Zał.2 Przeds.'!BC32)</f>
        <v>0</v>
      </c>
    </row>
    <row r="34" spans="1:8" s="99" customFormat="1" ht="16.5" customHeight="1">
      <c r="A34" s="174" t="s">
        <v>185</v>
      </c>
      <c r="B34" s="176"/>
      <c r="C34" s="176"/>
      <c r="D34" s="176"/>
      <c r="E34" s="133">
        <f>SUM(E35)</f>
        <v>18010079</v>
      </c>
      <c r="F34" s="133">
        <f t="shared" ref="F34:G34" si="0">SUM(F35)</f>
        <v>15639000</v>
      </c>
      <c r="G34" s="130">
        <f t="shared" si="0"/>
        <v>0</v>
      </c>
    </row>
    <row r="35" spans="1:8" s="99" customFormat="1" ht="30" customHeight="1">
      <c r="A35" s="147" t="s">
        <v>198</v>
      </c>
      <c r="B35" s="142" t="s">
        <v>192</v>
      </c>
      <c r="C35" s="142">
        <v>2004</v>
      </c>
      <c r="D35" s="142">
        <v>2027</v>
      </c>
      <c r="E35" s="133">
        <f>SUM([1]Zał.2Przedsięwzięcia!E44)</f>
        <v>18010079</v>
      </c>
      <c r="F35" s="133">
        <f>SUM('Zał.2 Przeds.'!F34:K34,'Zał.2 Przeds.'!P34:V34,'Zał.2 Przeds.'!AA34:AG34,'Zał.2 Przeds.'!AL34:AR34,'Zał.2 Przeds.'!AW34:BB34)</f>
        <v>15639000</v>
      </c>
      <c r="G35" s="145">
        <f>SUM('Zał.2 Przeds.'!BC34)</f>
        <v>0</v>
      </c>
    </row>
    <row r="36" spans="1:8" s="99" customFormat="1" ht="16.5" customHeight="1">
      <c r="A36" s="282" t="s">
        <v>199</v>
      </c>
      <c r="B36" s="282"/>
      <c r="C36" s="282"/>
      <c r="D36" s="282"/>
      <c r="E36" s="164">
        <f>+E37</f>
        <v>786054</v>
      </c>
      <c r="F36" s="164">
        <f>+F37</f>
        <v>636924</v>
      </c>
      <c r="G36" s="139">
        <f>SUM(G37)</f>
        <v>0</v>
      </c>
    </row>
    <row r="37" spans="1:8" s="99" customFormat="1" ht="16.5" customHeight="1">
      <c r="A37" s="280" t="s">
        <v>184</v>
      </c>
      <c r="B37" s="280"/>
      <c r="C37" s="280"/>
      <c r="D37" s="280"/>
      <c r="E37" s="127">
        <f>SUM(E38,E39)</f>
        <v>786054</v>
      </c>
      <c r="F37" s="127">
        <f t="shared" ref="F37:G37" si="1">SUM(F38,F39)</f>
        <v>636924</v>
      </c>
      <c r="G37" s="130">
        <f t="shared" si="1"/>
        <v>0</v>
      </c>
    </row>
    <row r="38" spans="1:8" s="99" customFormat="1" ht="39" customHeight="1">
      <c r="A38" s="147" t="s">
        <v>219</v>
      </c>
      <c r="B38" s="142" t="s">
        <v>192</v>
      </c>
      <c r="C38" s="142">
        <v>1999</v>
      </c>
      <c r="D38" s="142">
        <v>2045</v>
      </c>
      <c r="E38" s="133">
        <f>SUM('Zał.2 Przeds.'!E37)</f>
        <v>700000</v>
      </c>
      <c r="F38" s="133">
        <f>SUM('Zał.2 Przeds.'!F37:K37,'Zał.2 Przeds.'!P37:V37,'Zał.2 Przeds.'!AA37:AG37,'Zał.2 Przeds.'!AL37:AR37,'Zał.2 Przeds.'!AW37:BB37)</f>
        <v>568067</v>
      </c>
      <c r="G38" s="122">
        <v>0</v>
      </c>
      <c r="H38" s="104"/>
    </row>
    <row r="39" spans="1:8" s="99" customFormat="1" ht="39" customHeight="1">
      <c r="A39" s="204" t="s">
        <v>218</v>
      </c>
      <c r="B39" s="205" t="s">
        <v>192</v>
      </c>
      <c r="C39" s="205">
        <v>2001</v>
      </c>
      <c r="D39" s="205">
        <v>2034</v>
      </c>
      <c r="E39" s="206">
        <f>SUM('Zał.2 Przeds.'!E38)</f>
        <v>86054</v>
      </c>
      <c r="F39" s="206">
        <f>SUM('Zał.2 Przeds.'!F38:K38,'Zał.2 Przeds.'!P38:V38,'Zał.2 Przeds.'!AA38:AG38,'Zał.2 Przeds.'!AL38:AR38,'Zał.2 Przeds.'!AW38:BB38)</f>
        <v>68857</v>
      </c>
      <c r="G39" s="207">
        <v>0</v>
      </c>
      <c r="H39" s="104"/>
    </row>
    <row r="40" spans="1:8" s="99" customFormat="1" ht="16.5" customHeight="1">
      <c r="A40" s="183"/>
      <c r="B40" s="184"/>
      <c r="C40" s="184"/>
      <c r="D40" s="184"/>
      <c r="E40" s="185"/>
      <c r="F40" s="185"/>
      <c r="G40" s="186"/>
      <c r="H40" s="104"/>
    </row>
    <row r="41" spans="1:8" s="99" customFormat="1" ht="15">
      <c r="A41" s="100"/>
      <c r="B41" s="108"/>
      <c r="F41" s="198"/>
    </row>
    <row r="42" spans="1:8" s="99" customFormat="1" ht="15">
      <c r="B42" s="89"/>
      <c r="F42" s="198"/>
    </row>
    <row r="43" spans="1:8" ht="15">
      <c r="F43" s="198"/>
    </row>
    <row r="44" spans="1:8">
      <c r="F44" s="82"/>
    </row>
  </sheetData>
  <mergeCells count="19">
    <mergeCell ref="G6:G7"/>
    <mergeCell ref="A6:A7"/>
    <mergeCell ref="B6:B7"/>
    <mergeCell ref="C6:D6"/>
    <mergeCell ref="E6:E7"/>
    <mergeCell ref="F6:F7"/>
    <mergeCell ref="A15:D15"/>
    <mergeCell ref="A9:D9"/>
    <mergeCell ref="A12:D12"/>
    <mergeCell ref="A22:D22"/>
    <mergeCell ref="A26:G26"/>
    <mergeCell ref="G27:G28"/>
    <mergeCell ref="A36:D36"/>
    <mergeCell ref="A37:D37"/>
    <mergeCell ref="A27:A28"/>
    <mergeCell ref="B27:B28"/>
    <mergeCell ref="C27:D27"/>
    <mergeCell ref="E27:E28"/>
    <mergeCell ref="F27:F28"/>
  </mergeCells>
  <pageMargins left="0.69" right="0.70866141732283472" top="0.89" bottom="0.56999999999999995" header="0.36" footer="0.26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5"/>
  <sheetViews>
    <sheetView topLeftCell="C1" workbookViewId="0">
      <selection activeCell="K2" sqref="K2"/>
    </sheetView>
  </sheetViews>
  <sheetFormatPr defaultRowHeight="14.25"/>
  <cols>
    <col min="1" max="1" width="18.625" style="79" bestFit="1" customWidth="1"/>
    <col min="2" max="2" width="12.125" style="79" customWidth="1"/>
    <col min="3" max="3" width="11.625" style="79" customWidth="1"/>
    <col min="4" max="4" width="12.125" style="79" customWidth="1"/>
    <col min="5" max="10" width="11.625" style="79" customWidth="1"/>
    <col min="11" max="16384" width="9" style="79"/>
  </cols>
  <sheetData>
    <row r="1" spans="1:25">
      <c r="K1" s="239" t="s">
        <v>304</v>
      </c>
    </row>
    <row r="2" spans="1:25">
      <c r="F2" s="83"/>
      <c r="K2" s="239" t="s">
        <v>239</v>
      </c>
    </row>
    <row r="3" spans="1:25" s="99" customFormat="1" ht="20.25" customHeight="1">
      <c r="A3" s="109" t="s">
        <v>205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 s="99" customFormat="1" ht="16.5" customHeight="1">
      <c r="A4" s="288" t="s">
        <v>206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</row>
    <row r="5" spans="1:25" s="99" customFormat="1" ht="46.5" customHeight="1">
      <c r="A5" s="291" t="s">
        <v>207</v>
      </c>
      <c r="B5" s="293" t="s">
        <v>208</v>
      </c>
      <c r="C5" s="294"/>
      <c r="D5" s="295"/>
      <c r="E5" s="296" t="s">
        <v>186</v>
      </c>
      <c r="F5" s="297"/>
      <c r="G5" s="298"/>
      <c r="H5" s="299" t="s">
        <v>193</v>
      </c>
      <c r="I5" s="300"/>
      <c r="J5" s="301"/>
      <c r="K5" s="302" t="s">
        <v>214</v>
      </c>
    </row>
    <row r="6" spans="1:25" s="99" customFormat="1" ht="30.75" customHeight="1">
      <c r="A6" s="292"/>
      <c r="B6" s="111" t="s">
        <v>209</v>
      </c>
      <c r="C6" s="112" t="s">
        <v>210</v>
      </c>
      <c r="D6" s="113" t="s">
        <v>211</v>
      </c>
      <c r="E6" s="111" t="s">
        <v>209</v>
      </c>
      <c r="F6" s="112" t="s">
        <v>210</v>
      </c>
      <c r="G6" s="113" t="s">
        <v>211</v>
      </c>
      <c r="H6" s="111" t="s">
        <v>209</v>
      </c>
      <c r="I6" s="112" t="s">
        <v>210</v>
      </c>
      <c r="J6" s="113" t="s">
        <v>211</v>
      </c>
      <c r="K6" s="303"/>
    </row>
    <row r="7" spans="1:25" s="217" customFormat="1" ht="12">
      <c r="A7" s="216" t="s">
        <v>212</v>
      </c>
      <c r="B7" s="123">
        <f>SUM(C7:D7)</f>
        <v>20150093</v>
      </c>
      <c r="C7" s="123">
        <f>SUM(F7,I7,K7)</f>
        <v>2131014</v>
      </c>
      <c r="D7" s="123">
        <f>SUM(G7,J7)</f>
        <v>18019079</v>
      </c>
      <c r="E7" s="123">
        <f>SUM(F7:G7)</f>
        <v>876122</v>
      </c>
      <c r="F7" s="123">
        <f>SUM(Zał.3Przeds.zb.!E12)</f>
        <v>867122</v>
      </c>
      <c r="G7" s="123">
        <f>SUM(Zał.3Przeds.zb.!E13)</f>
        <v>9000</v>
      </c>
      <c r="H7" s="123">
        <f>SUM(I7:J7)</f>
        <v>18487917</v>
      </c>
      <c r="I7" s="123">
        <f>SUM(Zał.3Przeds.zb.!E22)</f>
        <v>477838</v>
      </c>
      <c r="J7" s="123">
        <f>SUM(Zał.3Przeds.zb.!E34)</f>
        <v>18010079</v>
      </c>
      <c r="K7" s="123">
        <f>SUM('[1]Zał.3 Przeds.zbiorczo'!E49)</f>
        <v>786054</v>
      </c>
    </row>
    <row r="8" spans="1:25" s="217" customFormat="1" ht="12">
      <c r="A8" s="216" t="s">
        <v>213</v>
      </c>
      <c r="B8" s="123">
        <f>SUM(C8:D8)</f>
        <v>0</v>
      </c>
      <c r="C8" s="123">
        <f>SUM(F8,I8,K8)</f>
        <v>0</v>
      </c>
      <c r="D8" s="123">
        <f>SUM(G8,J8)</f>
        <v>0</v>
      </c>
      <c r="E8" s="123">
        <f>SUM(F8:G8)</f>
        <v>0</v>
      </c>
      <c r="F8" s="123">
        <f>SUM(Zał.3Przeds.zb.!G12)</f>
        <v>0</v>
      </c>
      <c r="G8" s="123">
        <f>SUM(Zał.3Przeds.zb.!G13:G13)</f>
        <v>0</v>
      </c>
      <c r="H8" s="123">
        <f>SUM(I8:J8)</f>
        <v>0</v>
      </c>
      <c r="I8" s="123">
        <f>SUM(Zał.3Przeds.zb.!G22)</f>
        <v>0</v>
      </c>
      <c r="J8" s="123">
        <f>SUM(Zał.3Przeds.zb.!G34:G34)</f>
        <v>0</v>
      </c>
      <c r="K8" s="123">
        <f>SUM('[1]Zał.3 Przeds.zbiorczo'!G49)</f>
        <v>0</v>
      </c>
    </row>
    <row r="9" spans="1:25" s="217" customFormat="1" ht="12">
      <c r="A9" s="216">
        <v>2013</v>
      </c>
      <c r="B9" s="123">
        <f t="shared" ref="B9:B41" si="0">SUM(C9:D9)</f>
        <v>1681936</v>
      </c>
      <c r="C9" s="123">
        <f t="shared" ref="C9:C41" si="1">SUM(F9,I9,K9)</f>
        <v>630336</v>
      </c>
      <c r="D9" s="123">
        <f t="shared" ref="D9:D41" si="2">SUM(G9,J9)</f>
        <v>1051600</v>
      </c>
      <c r="E9" s="123">
        <f t="shared" ref="E9:E41" si="3">SUM(F9:G9)</f>
        <v>389470</v>
      </c>
      <c r="F9" s="123">
        <f>SUM('Zał.2 Przeds.'!F10)</f>
        <v>380470</v>
      </c>
      <c r="G9" s="123">
        <f>SUM('Zał.2 Przeds.'!F17:F17)</f>
        <v>9000</v>
      </c>
      <c r="H9" s="123">
        <f t="shared" ref="H9:H41" si="4">SUM(I9:J9)</f>
        <v>1263266</v>
      </c>
      <c r="I9" s="123">
        <f>SUM('Zał.2 Przeds.'!F20)</f>
        <v>220666</v>
      </c>
      <c r="J9" s="123">
        <f>SUM('Zał.2 Przeds.'!F33:F33)</f>
        <v>1042600</v>
      </c>
      <c r="K9" s="123">
        <f>SUM('Zał.2 Przeds.'!F35)</f>
        <v>29200</v>
      </c>
    </row>
    <row r="10" spans="1:25" s="217" customFormat="1" ht="12">
      <c r="A10" s="216">
        <v>2014</v>
      </c>
      <c r="B10" s="123">
        <f t="shared" si="0"/>
        <v>1426000</v>
      </c>
      <c r="C10" s="123">
        <f t="shared" si="1"/>
        <v>383400</v>
      </c>
      <c r="D10" s="123">
        <f t="shared" si="2"/>
        <v>1042600</v>
      </c>
      <c r="E10" s="123">
        <f t="shared" si="3"/>
        <v>130000</v>
      </c>
      <c r="F10" s="123">
        <f>SUM('Zał.2 Przeds.'!G10)</f>
        <v>130000</v>
      </c>
      <c r="G10" s="123">
        <v>0</v>
      </c>
      <c r="H10" s="123">
        <f t="shared" si="4"/>
        <v>1266800</v>
      </c>
      <c r="I10" s="123">
        <f>SUM('Zał.2 Przeds.'!G20)</f>
        <v>224200</v>
      </c>
      <c r="J10" s="123">
        <f>SUM('Zał.2 Przeds.'!G33:G33)</f>
        <v>1042600</v>
      </c>
      <c r="K10" s="123">
        <f>SUM('Zał.2 Przeds.'!G35)</f>
        <v>29200</v>
      </c>
    </row>
    <row r="11" spans="1:25" s="217" customFormat="1" ht="12">
      <c r="A11" s="216">
        <v>2015</v>
      </c>
      <c r="B11" s="123">
        <f t="shared" si="0"/>
        <v>1071700</v>
      </c>
      <c r="C11" s="123">
        <f t="shared" si="1"/>
        <v>29100</v>
      </c>
      <c r="D11" s="123">
        <f t="shared" si="2"/>
        <v>1042600</v>
      </c>
      <c r="E11" s="123">
        <f t="shared" si="3"/>
        <v>0</v>
      </c>
      <c r="F11" s="123">
        <v>0</v>
      </c>
      <c r="G11" s="123">
        <v>0</v>
      </c>
      <c r="H11" s="123">
        <f t="shared" si="4"/>
        <v>1042600</v>
      </c>
      <c r="I11" s="123">
        <f>SUM([1]Zał.2Przedsięwzięcia!I26)</f>
        <v>0</v>
      </c>
      <c r="J11" s="123">
        <f>SUM('Zał.2 Przeds.'!H33:H33)</f>
        <v>1042600</v>
      </c>
      <c r="K11" s="123">
        <f>SUM('Zał.2 Przeds.'!H35)</f>
        <v>29100</v>
      </c>
    </row>
    <row r="12" spans="1:25" s="217" customFormat="1" ht="12">
      <c r="A12" s="216">
        <v>2016</v>
      </c>
      <c r="B12" s="123">
        <f t="shared" si="0"/>
        <v>1071600</v>
      </c>
      <c r="C12" s="123">
        <f t="shared" si="1"/>
        <v>29000</v>
      </c>
      <c r="D12" s="123">
        <f t="shared" si="2"/>
        <v>1042600</v>
      </c>
      <c r="E12" s="123">
        <f t="shared" si="3"/>
        <v>0</v>
      </c>
      <c r="F12" s="123">
        <v>0</v>
      </c>
      <c r="G12" s="123">
        <v>0</v>
      </c>
      <c r="H12" s="123">
        <f t="shared" si="4"/>
        <v>1042600</v>
      </c>
      <c r="I12" s="123">
        <v>0</v>
      </c>
      <c r="J12" s="123">
        <f>SUM('Zał.2 Przeds.'!I33:I33)</f>
        <v>1042600</v>
      </c>
      <c r="K12" s="123">
        <f>SUM('Zał.2 Przeds.'!I35)</f>
        <v>29000</v>
      </c>
    </row>
    <row r="13" spans="1:25" s="217" customFormat="1" ht="12">
      <c r="A13" s="216">
        <v>2017</v>
      </c>
      <c r="B13" s="123">
        <f t="shared" si="0"/>
        <v>1071300</v>
      </c>
      <c r="C13" s="123">
        <f t="shared" si="1"/>
        <v>28700</v>
      </c>
      <c r="D13" s="123">
        <f t="shared" si="2"/>
        <v>1042600</v>
      </c>
      <c r="E13" s="123">
        <f t="shared" si="3"/>
        <v>0</v>
      </c>
      <c r="F13" s="123">
        <v>0</v>
      </c>
      <c r="G13" s="123">
        <v>0</v>
      </c>
      <c r="H13" s="123">
        <f t="shared" si="4"/>
        <v>1042600</v>
      </c>
      <c r="I13" s="123">
        <v>0</v>
      </c>
      <c r="J13" s="123">
        <f>SUM('Zał.2 Przeds.'!J33:J33)</f>
        <v>1042600</v>
      </c>
      <c r="K13" s="123">
        <f>SUM('Zał.2 Przeds.'!J35)</f>
        <v>28700</v>
      </c>
    </row>
    <row r="14" spans="1:25" s="116" customFormat="1" ht="12">
      <c r="A14" s="114">
        <v>2018</v>
      </c>
      <c r="B14" s="115">
        <f t="shared" si="0"/>
        <v>1070800</v>
      </c>
      <c r="C14" s="115">
        <f t="shared" si="1"/>
        <v>28200</v>
      </c>
      <c r="D14" s="115">
        <f t="shared" si="2"/>
        <v>1042600</v>
      </c>
      <c r="E14" s="115">
        <f t="shared" si="3"/>
        <v>0</v>
      </c>
      <c r="F14" s="115">
        <v>0</v>
      </c>
      <c r="G14" s="115">
        <v>0</v>
      </c>
      <c r="H14" s="115">
        <f t="shared" si="4"/>
        <v>1042600</v>
      </c>
      <c r="I14" s="115">
        <v>0</v>
      </c>
      <c r="J14" s="115">
        <f>SUM('Zał.2 Przeds.'!K33:K33)</f>
        <v>1042600</v>
      </c>
      <c r="K14" s="115">
        <f>SUM('Zał.2 Przeds.'!K35)</f>
        <v>28200</v>
      </c>
    </row>
    <row r="15" spans="1:25" s="116" customFormat="1" ht="12">
      <c r="A15" s="114">
        <v>2019</v>
      </c>
      <c r="B15" s="115">
        <f t="shared" si="0"/>
        <v>1070200</v>
      </c>
      <c r="C15" s="115">
        <f t="shared" si="1"/>
        <v>27600</v>
      </c>
      <c r="D15" s="115">
        <f t="shared" si="2"/>
        <v>1042600</v>
      </c>
      <c r="E15" s="115">
        <f t="shared" si="3"/>
        <v>0</v>
      </c>
      <c r="F15" s="115">
        <v>0</v>
      </c>
      <c r="G15" s="115">
        <v>0</v>
      </c>
      <c r="H15" s="115">
        <f t="shared" si="4"/>
        <v>1042600</v>
      </c>
      <c r="I15" s="115">
        <v>0</v>
      </c>
      <c r="J15" s="115">
        <f>SUM('Zał.2 Przeds.'!P33:P33)</f>
        <v>1042600</v>
      </c>
      <c r="K15" s="115">
        <f>SUM('Zał.2 Przeds.'!P35)</f>
        <v>27600</v>
      </c>
    </row>
    <row r="16" spans="1:25" s="116" customFormat="1" ht="12">
      <c r="A16" s="114">
        <v>2020</v>
      </c>
      <c r="B16" s="115">
        <f t="shared" si="0"/>
        <v>1069600</v>
      </c>
      <c r="C16" s="115">
        <f t="shared" si="1"/>
        <v>27000</v>
      </c>
      <c r="D16" s="115">
        <f t="shared" si="2"/>
        <v>1042600</v>
      </c>
      <c r="E16" s="115">
        <f t="shared" si="3"/>
        <v>0</v>
      </c>
      <c r="F16" s="115">
        <v>0</v>
      </c>
      <c r="G16" s="115">
        <v>0</v>
      </c>
      <c r="H16" s="115">
        <f t="shared" si="4"/>
        <v>1042600</v>
      </c>
      <c r="I16" s="115">
        <v>0</v>
      </c>
      <c r="J16" s="115">
        <f>SUM('Zał.2 Przeds.'!Q33:Q33)</f>
        <v>1042600</v>
      </c>
      <c r="K16" s="115">
        <f>SUM('Zał.2 Przeds.'!Q35)</f>
        <v>27000</v>
      </c>
    </row>
    <row r="17" spans="1:11" s="116" customFormat="1" ht="12">
      <c r="A17" s="114">
        <v>2021</v>
      </c>
      <c r="B17" s="115">
        <f t="shared" si="0"/>
        <v>1069000</v>
      </c>
      <c r="C17" s="115">
        <f t="shared" si="1"/>
        <v>26400</v>
      </c>
      <c r="D17" s="115">
        <f t="shared" si="2"/>
        <v>1042600</v>
      </c>
      <c r="E17" s="115">
        <f t="shared" si="3"/>
        <v>0</v>
      </c>
      <c r="F17" s="115">
        <v>0</v>
      </c>
      <c r="G17" s="115">
        <v>0</v>
      </c>
      <c r="H17" s="115">
        <f t="shared" si="4"/>
        <v>1042600</v>
      </c>
      <c r="I17" s="115">
        <v>0</v>
      </c>
      <c r="J17" s="115">
        <f>SUM('Zał.2 Przeds.'!R33:R33)</f>
        <v>1042600</v>
      </c>
      <c r="K17" s="115">
        <f>SUM('Zał.2 Przeds.'!R35)</f>
        <v>26400</v>
      </c>
    </row>
    <row r="18" spans="1:11" s="116" customFormat="1" ht="12">
      <c r="A18" s="114">
        <v>2022</v>
      </c>
      <c r="B18" s="115">
        <f t="shared" si="0"/>
        <v>1068100</v>
      </c>
      <c r="C18" s="115">
        <f t="shared" si="1"/>
        <v>25500</v>
      </c>
      <c r="D18" s="115">
        <f t="shared" si="2"/>
        <v>1042600</v>
      </c>
      <c r="E18" s="115">
        <f t="shared" si="3"/>
        <v>0</v>
      </c>
      <c r="F18" s="115">
        <v>0</v>
      </c>
      <c r="G18" s="115">
        <v>0</v>
      </c>
      <c r="H18" s="115">
        <f t="shared" si="4"/>
        <v>1042600</v>
      </c>
      <c r="I18" s="115">
        <v>0</v>
      </c>
      <c r="J18" s="115">
        <f>SUM('Zał.2 Przeds.'!S33:S33)</f>
        <v>1042600</v>
      </c>
      <c r="K18" s="115">
        <f>SUM('Zał.2 Przeds.'!S35)</f>
        <v>25500</v>
      </c>
    </row>
    <row r="19" spans="1:11" s="116" customFormat="1" ht="12">
      <c r="A19" s="114">
        <v>2023</v>
      </c>
      <c r="B19" s="115">
        <f t="shared" si="0"/>
        <v>1067300</v>
      </c>
      <c r="C19" s="115">
        <f t="shared" si="1"/>
        <v>24700</v>
      </c>
      <c r="D19" s="115">
        <f t="shared" si="2"/>
        <v>1042600</v>
      </c>
      <c r="E19" s="115">
        <f t="shared" si="3"/>
        <v>0</v>
      </c>
      <c r="F19" s="115">
        <v>0</v>
      </c>
      <c r="G19" s="115">
        <v>0</v>
      </c>
      <c r="H19" s="115">
        <f t="shared" si="4"/>
        <v>1042600</v>
      </c>
      <c r="I19" s="115">
        <v>0</v>
      </c>
      <c r="J19" s="115">
        <f>SUM('Zał.2 Przeds.'!T33:T33)</f>
        <v>1042600</v>
      </c>
      <c r="K19" s="115">
        <f>SUM('Zał.2 Przeds.'!T35)</f>
        <v>24700</v>
      </c>
    </row>
    <row r="20" spans="1:11" s="116" customFormat="1" ht="12">
      <c r="A20" s="114">
        <v>2024</v>
      </c>
      <c r="B20" s="115">
        <f t="shared" si="0"/>
        <v>1066300</v>
      </c>
      <c r="C20" s="115">
        <f t="shared" si="1"/>
        <v>23700</v>
      </c>
      <c r="D20" s="115">
        <f t="shared" si="2"/>
        <v>1042600</v>
      </c>
      <c r="E20" s="115">
        <f t="shared" si="3"/>
        <v>0</v>
      </c>
      <c r="F20" s="115">
        <v>0</v>
      </c>
      <c r="G20" s="115">
        <v>0</v>
      </c>
      <c r="H20" s="115">
        <f t="shared" si="4"/>
        <v>1042600</v>
      </c>
      <c r="I20" s="115">
        <v>0</v>
      </c>
      <c r="J20" s="115">
        <f>SUM('Zał.2 Przeds.'!U33:U33)</f>
        <v>1042600</v>
      </c>
      <c r="K20" s="115">
        <f>SUM('Zał.2 Przeds.'!U35)</f>
        <v>23700</v>
      </c>
    </row>
    <row r="21" spans="1:11" s="116" customFormat="1" ht="12">
      <c r="A21" s="114">
        <v>2025</v>
      </c>
      <c r="B21" s="115">
        <f t="shared" si="0"/>
        <v>1065300</v>
      </c>
      <c r="C21" s="115">
        <f t="shared" si="1"/>
        <v>22700</v>
      </c>
      <c r="D21" s="115">
        <f t="shared" si="2"/>
        <v>1042600</v>
      </c>
      <c r="E21" s="115">
        <f t="shared" si="3"/>
        <v>0</v>
      </c>
      <c r="F21" s="115">
        <v>0</v>
      </c>
      <c r="G21" s="115">
        <v>0</v>
      </c>
      <c r="H21" s="115">
        <f t="shared" si="4"/>
        <v>1042600</v>
      </c>
      <c r="I21" s="115">
        <v>0</v>
      </c>
      <c r="J21" s="115">
        <f>SUM('Zał.2 Przeds.'!V33:V33)</f>
        <v>1042600</v>
      </c>
      <c r="K21" s="115">
        <f>SUM('Zał.2 Przeds.'!V35)</f>
        <v>22700</v>
      </c>
    </row>
    <row r="22" spans="1:11" s="116" customFormat="1" ht="12">
      <c r="A22" s="114">
        <v>2026</v>
      </c>
      <c r="B22" s="115">
        <f t="shared" si="0"/>
        <v>1064300</v>
      </c>
      <c r="C22" s="115">
        <f t="shared" si="1"/>
        <v>21700</v>
      </c>
      <c r="D22" s="115">
        <f t="shared" si="2"/>
        <v>1042600</v>
      </c>
      <c r="E22" s="115">
        <f t="shared" si="3"/>
        <v>0</v>
      </c>
      <c r="F22" s="115">
        <v>0</v>
      </c>
      <c r="G22" s="115">
        <v>0</v>
      </c>
      <c r="H22" s="115">
        <f t="shared" si="4"/>
        <v>1042600</v>
      </c>
      <c r="I22" s="115">
        <v>0</v>
      </c>
      <c r="J22" s="115">
        <f>SUM('Zał.2 Przeds.'!AA33:AA33)</f>
        <v>1042600</v>
      </c>
      <c r="K22" s="115">
        <f>SUM('Zał.2 Przeds.'!AA35)</f>
        <v>21700</v>
      </c>
    </row>
    <row r="23" spans="1:11" s="116" customFormat="1" ht="12">
      <c r="A23" s="114">
        <v>2027</v>
      </c>
      <c r="B23" s="115">
        <f t="shared" si="0"/>
        <v>1063200</v>
      </c>
      <c r="C23" s="115">
        <f t="shared" si="1"/>
        <v>20600</v>
      </c>
      <c r="D23" s="115">
        <f t="shared" si="2"/>
        <v>1042600</v>
      </c>
      <c r="E23" s="115">
        <f t="shared" si="3"/>
        <v>0</v>
      </c>
      <c r="F23" s="115">
        <v>0</v>
      </c>
      <c r="G23" s="115">
        <v>0</v>
      </c>
      <c r="H23" s="115">
        <f t="shared" si="4"/>
        <v>1042600</v>
      </c>
      <c r="I23" s="115">
        <v>0</v>
      </c>
      <c r="J23" s="115">
        <f>SUM('Zał.2 Przeds.'!AB33:AB33)</f>
        <v>1042600</v>
      </c>
      <c r="K23" s="115">
        <f>SUM('Zał.2 Przeds.'!AB35)</f>
        <v>20600</v>
      </c>
    </row>
    <row r="24" spans="1:11" s="116" customFormat="1" ht="12">
      <c r="A24" s="114">
        <v>2028</v>
      </c>
      <c r="B24" s="115">
        <f t="shared" si="0"/>
        <v>19600</v>
      </c>
      <c r="C24" s="115">
        <f t="shared" si="1"/>
        <v>19600</v>
      </c>
      <c r="D24" s="115">
        <f t="shared" si="2"/>
        <v>0</v>
      </c>
      <c r="E24" s="115">
        <f t="shared" si="3"/>
        <v>0</v>
      </c>
      <c r="F24" s="115">
        <v>0</v>
      </c>
      <c r="G24" s="115">
        <v>0</v>
      </c>
      <c r="H24" s="115">
        <f t="shared" si="4"/>
        <v>0</v>
      </c>
      <c r="I24" s="115">
        <v>0</v>
      </c>
      <c r="J24" s="115">
        <v>0</v>
      </c>
      <c r="K24" s="115">
        <f>SUM('Zał.2 Przeds.'!AC35)</f>
        <v>19600</v>
      </c>
    </row>
    <row r="25" spans="1:11" s="116" customFormat="1" ht="12">
      <c r="A25" s="114">
        <v>2029</v>
      </c>
      <c r="B25" s="115">
        <f t="shared" si="0"/>
        <v>18700</v>
      </c>
      <c r="C25" s="115">
        <f t="shared" si="1"/>
        <v>18700</v>
      </c>
      <c r="D25" s="115">
        <f t="shared" si="2"/>
        <v>0</v>
      </c>
      <c r="E25" s="115">
        <f t="shared" si="3"/>
        <v>0</v>
      </c>
      <c r="F25" s="115">
        <v>0</v>
      </c>
      <c r="G25" s="115">
        <v>0</v>
      </c>
      <c r="H25" s="115">
        <f t="shared" si="4"/>
        <v>0</v>
      </c>
      <c r="I25" s="115">
        <v>0</v>
      </c>
      <c r="J25" s="115">
        <v>0</v>
      </c>
      <c r="K25" s="115">
        <f>SUM('Zał.2 Przeds.'!AD35)</f>
        <v>18700</v>
      </c>
    </row>
    <row r="26" spans="1:11" s="116" customFormat="1" ht="12">
      <c r="A26" s="114">
        <v>2030</v>
      </c>
      <c r="B26" s="115">
        <f t="shared" si="0"/>
        <v>17900</v>
      </c>
      <c r="C26" s="115">
        <f t="shared" si="1"/>
        <v>17900</v>
      </c>
      <c r="D26" s="115">
        <f t="shared" si="2"/>
        <v>0</v>
      </c>
      <c r="E26" s="115">
        <f t="shared" si="3"/>
        <v>0</v>
      </c>
      <c r="F26" s="115">
        <v>0</v>
      </c>
      <c r="G26" s="115">
        <v>0</v>
      </c>
      <c r="H26" s="115">
        <f t="shared" si="4"/>
        <v>0</v>
      </c>
      <c r="I26" s="115">
        <v>0</v>
      </c>
      <c r="J26" s="115">
        <v>0</v>
      </c>
      <c r="K26" s="115">
        <f>SUM('Zał.2 Przeds.'!AE35)</f>
        <v>17900</v>
      </c>
    </row>
    <row r="27" spans="1:11" s="116" customFormat="1" ht="12">
      <c r="A27" s="114">
        <v>2031</v>
      </c>
      <c r="B27" s="115">
        <f t="shared" si="0"/>
        <v>17100</v>
      </c>
      <c r="C27" s="115">
        <f t="shared" si="1"/>
        <v>17100</v>
      </c>
      <c r="D27" s="115">
        <f t="shared" si="2"/>
        <v>0</v>
      </c>
      <c r="E27" s="115">
        <f t="shared" si="3"/>
        <v>0</v>
      </c>
      <c r="F27" s="115">
        <v>0</v>
      </c>
      <c r="G27" s="115">
        <v>0</v>
      </c>
      <c r="H27" s="115">
        <f t="shared" si="4"/>
        <v>0</v>
      </c>
      <c r="I27" s="115">
        <v>0</v>
      </c>
      <c r="J27" s="115">
        <v>0</v>
      </c>
      <c r="K27" s="115">
        <f>SUM('Zał.2 Przeds.'!AF35)</f>
        <v>17100</v>
      </c>
    </row>
    <row r="28" spans="1:11" s="116" customFormat="1" ht="12">
      <c r="A28" s="114">
        <v>2032</v>
      </c>
      <c r="B28" s="115">
        <f t="shared" si="0"/>
        <v>16200</v>
      </c>
      <c r="C28" s="115">
        <f t="shared" si="1"/>
        <v>16200</v>
      </c>
      <c r="D28" s="115">
        <f t="shared" si="2"/>
        <v>0</v>
      </c>
      <c r="E28" s="115">
        <f t="shared" si="3"/>
        <v>0</v>
      </c>
      <c r="F28" s="115">
        <v>0</v>
      </c>
      <c r="G28" s="115">
        <v>0</v>
      </c>
      <c r="H28" s="115">
        <f t="shared" si="4"/>
        <v>0</v>
      </c>
      <c r="I28" s="115">
        <v>0</v>
      </c>
      <c r="J28" s="115">
        <v>0</v>
      </c>
      <c r="K28" s="115">
        <f>SUM('Zał.2 Przeds.'!AG35)</f>
        <v>16200</v>
      </c>
    </row>
    <row r="29" spans="1:11" s="116" customFormat="1" ht="12">
      <c r="A29" s="114">
        <v>2033</v>
      </c>
      <c r="B29" s="115">
        <f t="shared" si="0"/>
        <v>15400</v>
      </c>
      <c r="C29" s="115">
        <f t="shared" si="1"/>
        <v>15400</v>
      </c>
      <c r="D29" s="115">
        <f t="shared" si="2"/>
        <v>0</v>
      </c>
      <c r="E29" s="115">
        <f t="shared" si="3"/>
        <v>0</v>
      </c>
      <c r="F29" s="115">
        <v>0</v>
      </c>
      <c r="G29" s="115">
        <v>0</v>
      </c>
      <c r="H29" s="115">
        <f t="shared" si="4"/>
        <v>0</v>
      </c>
      <c r="I29" s="115">
        <v>0</v>
      </c>
      <c r="J29" s="115">
        <v>0</v>
      </c>
      <c r="K29" s="115">
        <f>SUM('Zał.2 Przeds.'!AL35)</f>
        <v>15400</v>
      </c>
    </row>
    <row r="30" spans="1:11" s="116" customFormat="1" ht="12">
      <c r="A30" s="114">
        <v>2034</v>
      </c>
      <c r="B30" s="115">
        <f t="shared" si="0"/>
        <v>14857</v>
      </c>
      <c r="C30" s="115">
        <f t="shared" si="1"/>
        <v>14857</v>
      </c>
      <c r="D30" s="115">
        <f t="shared" si="2"/>
        <v>0</v>
      </c>
      <c r="E30" s="115">
        <f t="shared" si="3"/>
        <v>0</v>
      </c>
      <c r="F30" s="115">
        <v>0</v>
      </c>
      <c r="G30" s="115">
        <v>0</v>
      </c>
      <c r="H30" s="115">
        <f t="shared" si="4"/>
        <v>0</v>
      </c>
      <c r="I30" s="115">
        <v>0</v>
      </c>
      <c r="J30" s="115">
        <v>0</v>
      </c>
      <c r="K30" s="115">
        <f>SUM('Zał.2 Przeds.'!AM35)</f>
        <v>14857</v>
      </c>
    </row>
    <row r="31" spans="1:11" s="116" customFormat="1" ht="12">
      <c r="A31" s="114">
        <v>2035</v>
      </c>
      <c r="B31" s="115">
        <f t="shared" si="0"/>
        <v>14200</v>
      </c>
      <c r="C31" s="115">
        <f t="shared" si="1"/>
        <v>14200</v>
      </c>
      <c r="D31" s="115">
        <f t="shared" si="2"/>
        <v>0</v>
      </c>
      <c r="E31" s="115">
        <f t="shared" si="3"/>
        <v>0</v>
      </c>
      <c r="F31" s="115">
        <v>0</v>
      </c>
      <c r="G31" s="115">
        <v>0</v>
      </c>
      <c r="H31" s="115">
        <f t="shared" si="4"/>
        <v>0</v>
      </c>
      <c r="I31" s="115">
        <v>0</v>
      </c>
      <c r="J31" s="115">
        <v>0</v>
      </c>
      <c r="K31" s="115">
        <f>SUM('Zał.2 Przeds.'!AN35)</f>
        <v>14200</v>
      </c>
    </row>
    <row r="32" spans="1:11" s="116" customFormat="1" ht="12">
      <c r="A32" s="114">
        <v>2036</v>
      </c>
      <c r="B32" s="115">
        <f t="shared" si="0"/>
        <v>12200</v>
      </c>
      <c r="C32" s="115">
        <f t="shared" si="1"/>
        <v>12200</v>
      </c>
      <c r="D32" s="115">
        <f t="shared" si="2"/>
        <v>0</v>
      </c>
      <c r="E32" s="115">
        <f t="shared" si="3"/>
        <v>0</v>
      </c>
      <c r="F32" s="115">
        <v>0</v>
      </c>
      <c r="G32" s="115">
        <v>0</v>
      </c>
      <c r="H32" s="115">
        <f t="shared" si="4"/>
        <v>0</v>
      </c>
      <c r="I32" s="115">
        <v>0</v>
      </c>
      <c r="J32" s="115">
        <v>0</v>
      </c>
      <c r="K32" s="115">
        <f>SUM('Zał.2 Przeds.'!AO35)</f>
        <v>12200</v>
      </c>
    </row>
    <row r="33" spans="1:25" s="116" customFormat="1" ht="12">
      <c r="A33" s="114">
        <v>2037</v>
      </c>
      <c r="B33" s="115">
        <f t="shared" si="0"/>
        <v>11700</v>
      </c>
      <c r="C33" s="115">
        <f t="shared" si="1"/>
        <v>11700</v>
      </c>
      <c r="D33" s="115">
        <f t="shared" si="2"/>
        <v>0</v>
      </c>
      <c r="E33" s="115">
        <f t="shared" si="3"/>
        <v>0</v>
      </c>
      <c r="F33" s="115">
        <v>0</v>
      </c>
      <c r="G33" s="115">
        <v>0</v>
      </c>
      <c r="H33" s="115">
        <f t="shared" si="4"/>
        <v>0</v>
      </c>
      <c r="I33" s="115">
        <v>0</v>
      </c>
      <c r="J33" s="115">
        <v>0</v>
      </c>
      <c r="K33" s="115">
        <f>SUM('Zał.2 Przeds.'!AP35)</f>
        <v>11700</v>
      </c>
    </row>
    <row r="34" spans="1:25" s="116" customFormat="1" ht="12">
      <c r="A34" s="114">
        <v>2038</v>
      </c>
      <c r="B34" s="115">
        <f t="shared" si="0"/>
        <v>11300</v>
      </c>
      <c r="C34" s="115">
        <f t="shared" si="1"/>
        <v>11300</v>
      </c>
      <c r="D34" s="115">
        <f t="shared" si="2"/>
        <v>0</v>
      </c>
      <c r="E34" s="115">
        <f t="shared" si="3"/>
        <v>0</v>
      </c>
      <c r="F34" s="115">
        <v>0</v>
      </c>
      <c r="G34" s="115">
        <v>0</v>
      </c>
      <c r="H34" s="115">
        <f t="shared" si="4"/>
        <v>0</v>
      </c>
      <c r="I34" s="115">
        <v>0</v>
      </c>
      <c r="J34" s="115">
        <v>0</v>
      </c>
      <c r="K34" s="115">
        <f>SUM('Zał.2 Przeds.'!AQ35)</f>
        <v>11300</v>
      </c>
    </row>
    <row r="35" spans="1:25" s="116" customFormat="1" ht="12">
      <c r="A35" s="114">
        <v>2039</v>
      </c>
      <c r="B35" s="115">
        <f t="shared" si="0"/>
        <v>11200</v>
      </c>
      <c r="C35" s="115">
        <f t="shared" si="1"/>
        <v>11200</v>
      </c>
      <c r="D35" s="115">
        <f t="shared" si="2"/>
        <v>0</v>
      </c>
      <c r="E35" s="115">
        <f t="shared" si="3"/>
        <v>0</v>
      </c>
      <c r="F35" s="115">
        <v>0</v>
      </c>
      <c r="G35" s="115">
        <v>0</v>
      </c>
      <c r="H35" s="115">
        <f t="shared" si="4"/>
        <v>0</v>
      </c>
      <c r="I35" s="115">
        <v>0</v>
      </c>
      <c r="J35" s="115">
        <v>0</v>
      </c>
      <c r="K35" s="115">
        <f>SUM('Zał.2 Przeds.'!AR35)</f>
        <v>11200</v>
      </c>
    </row>
    <row r="36" spans="1:25" s="116" customFormat="1" ht="12">
      <c r="A36" s="114">
        <v>2040</v>
      </c>
      <c r="B36" s="115">
        <f t="shared" si="0"/>
        <v>11200</v>
      </c>
      <c r="C36" s="115">
        <f t="shared" si="1"/>
        <v>11200</v>
      </c>
      <c r="D36" s="115">
        <f t="shared" si="2"/>
        <v>0</v>
      </c>
      <c r="E36" s="115">
        <f t="shared" si="3"/>
        <v>0</v>
      </c>
      <c r="F36" s="115">
        <v>0</v>
      </c>
      <c r="G36" s="115">
        <v>0</v>
      </c>
      <c r="H36" s="115">
        <f t="shared" si="4"/>
        <v>0</v>
      </c>
      <c r="I36" s="115">
        <v>0</v>
      </c>
      <c r="J36" s="115">
        <v>0</v>
      </c>
      <c r="K36" s="115">
        <f>SUM('Zał.2 Przeds.'!AW35)</f>
        <v>11200</v>
      </c>
    </row>
    <row r="37" spans="1:25" s="116" customFormat="1" ht="12">
      <c r="A37" s="114">
        <v>2041</v>
      </c>
      <c r="B37" s="115">
        <f t="shared" si="0"/>
        <v>11000</v>
      </c>
      <c r="C37" s="115">
        <f t="shared" si="1"/>
        <v>11000</v>
      </c>
      <c r="D37" s="115">
        <f t="shared" si="2"/>
        <v>0</v>
      </c>
      <c r="E37" s="115">
        <f t="shared" si="3"/>
        <v>0</v>
      </c>
      <c r="F37" s="115">
        <v>0</v>
      </c>
      <c r="G37" s="115">
        <v>0</v>
      </c>
      <c r="H37" s="115">
        <f t="shared" si="4"/>
        <v>0</v>
      </c>
      <c r="I37" s="115">
        <v>0</v>
      </c>
      <c r="J37" s="115">
        <v>0</v>
      </c>
      <c r="K37" s="115">
        <f>SUM('Zał.2 Przeds.'!AX35)</f>
        <v>11000</v>
      </c>
    </row>
    <row r="38" spans="1:25" s="116" customFormat="1" ht="12">
      <c r="A38" s="114">
        <v>2042</v>
      </c>
      <c r="B38" s="115">
        <f t="shared" si="0"/>
        <v>11000</v>
      </c>
      <c r="C38" s="115">
        <f t="shared" si="1"/>
        <v>11000</v>
      </c>
      <c r="D38" s="115">
        <f t="shared" si="2"/>
        <v>0</v>
      </c>
      <c r="E38" s="115">
        <f t="shared" si="3"/>
        <v>0</v>
      </c>
      <c r="F38" s="115">
        <v>0</v>
      </c>
      <c r="G38" s="115">
        <v>0</v>
      </c>
      <c r="H38" s="115">
        <f t="shared" si="4"/>
        <v>0</v>
      </c>
      <c r="I38" s="115">
        <v>0</v>
      </c>
      <c r="J38" s="115">
        <v>0</v>
      </c>
      <c r="K38" s="115">
        <f>SUM('Zał.2 Przeds.'!AY35)</f>
        <v>11000</v>
      </c>
    </row>
    <row r="39" spans="1:25" s="116" customFormat="1" ht="12">
      <c r="A39" s="114">
        <v>2043</v>
      </c>
      <c r="B39" s="115">
        <f t="shared" si="0"/>
        <v>10067</v>
      </c>
      <c r="C39" s="115">
        <f t="shared" si="1"/>
        <v>10067</v>
      </c>
      <c r="D39" s="115">
        <f t="shared" si="2"/>
        <v>0</v>
      </c>
      <c r="E39" s="115">
        <f t="shared" si="3"/>
        <v>0</v>
      </c>
      <c r="F39" s="115">
        <v>0</v>
      </c>
      <c r="G39" s="115">
        <v>0</v>
      </c>
      <c r="H39" s="115">
        <f t="shared" si="4"/>
        <v>0</v>
      </c>
      <c r="I39" s="115">
        <v>0</v>
      </c>
      <c r="J39" s="115">
        <v>0</v>
      </c>
      <c r="K39" s="115">
        <f>SUM('Zał.2 Przeds.'!AZ35)</f>
        <v>10067</v>
      </c>
    </row>
    <row r="40" spans="1:25" s="116" customFormat="1" ht="12">
      <c r="A40" s="114">
        <v>2044</v>
      </c>
      <c r="B40" s="115">
        <f t="shared" si="0"/>
        <v>10000</v>
      </c>
      <c r="C40" s="115">
        <f t="shared" si="1"/>
        <v>10000</v>
      </c>
      <c r="D40" s="115">
        <f t="shared" si="2"/>
        <v>0</v>
      </c>
      <c r="E40" s="115">
        <f t="shared" si="3"/>
        <v>0</v>
      </c>
      <c r="F40" s="115">
        <v>0</v>
      </c>
      <c r="G40" s="115">
        <v>0</v>
      </c>
      <c r="H40" s="115">
        <f t="shared" si="4"/>
        <v>0</v>
      </c>
      <c r="I40" s="115">
        <v>0</v>
      </c>
      <c r="J40" s="115">
        <v>0</v>
      </c>
      <c r="K40" s="115">
        <f>SUM('Zał.2 Przeds.'!BA35)</f>
        <v>10000</v>
      </c>
    </row>
    <row r="41" spans="1:25" s="116" customFormat="1" ht="12">
      <c r="A41" s="114">
        <v>2045</v>
      </c>
      <c r="B41" s="115">
        <f t="shared" si="0"/>
        <v>10000</v>
      </c>
      <c r="C41" s="115">
        <f t="shared" si="1"/>
        <v>10000</v>
      </c>
      <c r="D41" s="115">
        <f t="shared" si="2"/>
        <v>0</v>
      </c>
      <c r="E41" s="115">
        <f t="shared" si="3"/>
        <v>0</v>
      </c>
      <c r="F41" s="115">
        <v>0</v>
      </c>
      <c r="G41" s="115">
        <v>0</v>
      </c>
      <c r="H41" s="115">
        <f t="shared" si="4"/>
        <v>0</v>
      </c>
      <c r="I41" s="115">
        <v>0</v>
      </c>
      <c r="J41" s="115">
        <v>0</v>
      </c>
      <c r="K41" s="115">
        <f>SUM('Zał.2 Przeds.'!BB35)</f>
        <v>10000</v>
      </c>
    </row>
    <row r="42" spans="1:25" s="99" customForma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:25" s="99" customFormat="1">
      <c r="A43" s="98"/>
      <c r="B43" s="218"/>
      <c r="C43" s="218"/>
      <c r="D43" s="218"/>
      <c r="E43" s="218"/>
      <c r="F43" s="218"/>
      <c r="G43" s="218"/>
      <c r="H43" s="219"/>
      <c r="I43" s="218"/>
      <c r="J43" s="241"/>
      <c r="K43" s="241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s="99" customFormat="1">
      <c r="A44" s="98"/>
      <c r="B44" s="21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spans="1:25" s="99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1:25" s="99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spans="1:25" s="99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1:25" s="99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spans="1:25" s="99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1:25" s="99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spans="1:25" s="99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1:25" s="99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spans="1:25" s="99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s="99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spans="1:25" s="99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s="99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spans="1:25" s="99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1:25" s="99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spans="1:25" s="99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1:25" s="99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spans="1:25" s="99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1:25" s="99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spans="1:25" s="99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1:25" s="99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spans="1:25" s="99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1:25" s="99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spans="1:25" s="99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spans="1:25" s="99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spans="1:25" s="99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1:25" s="99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pans="1:25" s="99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spans="1:25" s="99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spans="1:25" s="99" customForma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spans="1:25" s="99" customForma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spans="1:25" s="99" customForma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spans="1:25" s="99" customForma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spans="1:25" s="99" customForma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25" s="99" customForma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25" s="99" customForma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spans="1:25" s="99" customForma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25" s="99" customForma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</row>
    <row r="82" spans="1:25" s="99" customForma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spans="1:25" s="99" customForma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</row>
    <row r="84" spans="1:25" s="99" customForma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spans="1:25" s="99" customForma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spans="1:25" s="99" customForma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spans="1:25" s="99" customForma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spans="1:25" s="99" customForma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spans="1:25" s="99" customForma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spans="1:25" s="99" customForma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spans="1:25" s="99" customForma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spans="1:25" s="99" customForma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</row>
    <row r="93" spans="1:25" s="99" customForma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spans="1:25" s="99" customForma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</row>
    <row r="95" spans="1:25" s="99" customForma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spans="1:25" s="99" customForma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</row>
    <row r="97" spans="1:25" s="99" customForma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</row>
    <row r="98" spans="1:25" s="99" customForma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</row>
    <row r="99" spans="1:25" s="99" customForma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spans="1: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1: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</row>
    <row r="102" spans="1: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</row>
    <row r="103" spans="1: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</row>
    <row r="104" spans="1: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</row>
    <row r="105" spans="1: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</sheetData>
  <mergeCells count="6">
    <mergeCell ref="A4:K4"/>
    <mergeCell ref="A5:A6"/>
    <mergeCell ref="B5:D5"/>
    <mergeCell ref="E5:G5"/>
    <mergeCell ref="H5:J5"/>
    <mergeCell ref="K5:K6"/>
  </mergeCells>
  <pageMargins left="0.16" right="0.17" top="0.36" bottom="0.28000000000000003" header="0.22" footer="0.2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I40" sqref="I40:I42"/>
    </sheetView>
  </sheetViews>
  <sheetFormatPr defaultRowHeight="14.25"/>
  <cols>
    <col min="1" max="1" width="18.625" style="79" bestFit="1" customWidth="1"/>
    <col min="2" max="10" width="11.625" style="79" customWidth="1"/>
    <col min="11" max="16384" width="9" style="79"/>
  </cols>
  <sheetData>
    <row r="1" spans="1:10" s="99" customFormat="1">
      <c r="A1" s="304" t="s">
        <v>132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s="89" customFormat="1" ht="16.5" customHeight="1">
      <c r="A2" s="288" t="s">
        <v>215</v>
      </c>
      <c r="B2" s="289"/>
      <c r="C2" s="289"/>
      <c r="D2" s="289"/>
      <c r="E2" s="289"/>
      <c r="F2" s="289"/>
      <c r="G2" s="289"/>
      <c r="H2" s="289"/>
      <c r="I2" s="289"/>
      <c r="J2" s="290"/>
    </row>
    <row r="3" spans="1:10" s="89" customFormat="1" ht="37.5" customHeight="1">
      <c r="A3" s="305" t="s">
        <v>207</v>
      </c>
      <c r="B3" s="307" t="s">
        <v>187</v>
      </c>
      <c r="C3" s="308"/>
      <c r="D3" s="308"/>
      <c r="E3" s="309" t="s">
        <v>216</v>
      </c>
      <c r="F3" s="310"/>
      <c r="G3" s="311"/>
      <c r="H3" s="309" t="s">
        <v>217</v>
      </c>
      <c r="I3" s="310"/>
      <c r="J3" s="311"/>
    </row>
    <row r="4" spans="1:10" s="89" customFormat="1" ht="25.5" customHeight="1">
      <c r="A4" s="306"/>
      <c r="B4" s="111" t="s">
        <v>209</v>
      </c>
      <c r="C4" s="112" t="s">
        <v>210</v>
      </c>
      <c r="D4" s="113" t="s">
        <v>211</v>
      </c>
      <c r="E4" s="111" t="s">
        <v>209</v>
      </c>
      <c r="F4" s="112" t="s">
        <v>210</v>
      </c>
      <c r="G4" s="113" t="s">
        <v>211</v>
      </c>
      <c r="H4" s="111" t="s">
        <v>209</v>
      </c>
      <c r="I4" s="112" t="s">
        <v>210</v>
      </c>
      <c r="J4" s="113" t="s">
        <v>211</v>
      </c>
    </row>
    <row r="5" spans="1:10" s="116" customFormat="1" ht="12">
      <c r="A5" s="117" t="s">
        <v>212</v>
      </c>
      <c r="B5" s="123">
        <f>SUM(C5:D5)</f>
        <v>876122</v>
      </c>
      <c r="C5" s="123">
        <f>SUM(Zał.3Przeds.zb.!E12)</f>
        <v>867122</v>
      </c>
      <c r="D5" s="115">
        <f>SUM(Zał.3Przeds.zb.!E19)</f>
        <v>9000</v>
      </c>
      <c r="E5" s="115">
        <f>SUM(F5:G5)</f>
        <v>0</v>
      </c>
      <c r="F5" s="115">
        <v>0</v>
      </c>
      <c r="G5" s="115">
        <v>0</v>
      </c>
      <c r="H5" s="115">
        <f>SUM(I5:J5)</f>
        <v>0</v>
      </c>
      <c r="I5" s="115">
        <v>0</v>
      </c>
      <c r="J5" s="115">
        <v>0</v>
      </c>
    </row>
    <row r="6" spans="1:10" s="116" customFormat="1" ht="12">
      <c r="A6" s="114" t="s">
        <v>213</v>
      </c>
      <c r="B6" s="123">
        <f>SUM(C6:D6)</f>
        <v>0</v>
      </c>
      <c r="C6" s="123">
        <f>SUM(Zał.3Przeds.zb.!G12)</f>
        <v>0</v>
      </c>
      <c r="D6" s="115">
        <f>SUM(Zał.3Przeds.zb.!G19:G19)</f>
        <v>0</v>
      </c>
      <c r="E6" s="115">
        <f>SUM(F6:G6)</f>
        <v>0</v>
      </c>
      <c r="F6" s="115">
        <v>0</v>
      </c>
      <c r="G6" s="115">
        <v>0</v>
      </c>
      <c r="H6" s="115">
        <f>SUM(I6:J6)</f>
        <v>0</v>
      </c>
      <c r="I6" s="115">
        <v>0</v>
      </c>
      <c r="J6" s="115">
        <v>0</v>
      </c>
    </row>
    <row r="7" spans="1:10" s="116" customFormat="1" ht="12">
      <c r="A7" s="114">
        <v>2013</v>
      </c>
      <c r="B7" s="123">
        <f t="shared" ref="B7:B27" si="0">SUM(C7:D7)</f>
        <v>389470</v>
      </c>
      <c r="C7" s="123">
        <f>SUM('Zał.2 Przeds.'!F13)</f>
        <v>380470</v>
      </c>
      <c r="D7" s="115">
        <f>SUM('Zał.2 Przeds.'!F17:F17)</f>
        <v>9000</v>
      </c>
      <c r="E7" s="115">
        <f t="shared" ref="E7:E27" si="1">SUM(F7:G7)</f>
        <v>0</v>
      </c>
      <c r="F7" s="115">
        <v>0</v>
      </c>
      <c r="G7" s="115">
        <v>0</v>
      </c>
      <c r="H7" s="115">
        <f t="shared" ref="H7:H27" si="2">SUM(I7:J7)</f>
        <v>0</v>
      </c>
      <c r="I7" s="115">
        <v>0</v>
      </c>
      <c r="J7" s="115">
        <v>0</v>
      </c>
    </row>
    <row r="8" spans="1:10" s="116" customFormat="1" ht="12">
      <c r="A8" s="114">
        <v>2014</v>
      </c>
      <c r="B8" s="123">
        <f t="shared" si="0"/>
        <v>130000</v>
      </c>
      <c r="C8" s="123">
        <f>SUM('Zał.2 Przeds.'!G13)</f>
        <v>130000</v>
      </c>
      <c r="D8" s="115">
        <v>0</v>
      </c>
      <c r="E8" s="115">
        <f t="shared" si="1"/>
        <v>0</v>
      </c>
      <c r="F8" s="115">
        <v>0</v>
      </c>
      <c r="G8" s="115">
        <v>0</v>
      </c>
      <c r="H8" s="115">
        <f t="shared" si="2"/>
        <v>0</v>
      </c>
      <c r="I8" s="115">
        <v>0</v>
      </c>
      <c r="J8" s="115">
        <v>0</v>
      </c>
    </row>
    <row r="9" spans="1:10" s="116" customFormat="1" ht="12">
      <c r="A9" s="114">
        <v>2015</v>
      </c>
      <c r="B9" s="115">
        <f t="shared" si="0"/>
        <v>0</v>
      </c>
      <c r="C9" s="115">
        <v>0</v>
      </c>
      <c r="D9" s="115">
        <v>0</v>
      </c>
      <c r="E9" s="115">
        <f t="shared" si="1"/>
        <v>0</v>
      </c>
      <c r="F9" s="115">
        <v>0</v>
      </c>
      <c r="G9" s="115">
        <v>0</v>
      </c>
      <c r="H9" s="115">
        <f t="shared" si="2"/>
        <v>0</v>
      </c>
      <c r="I9" s="115">
        <v>0</v>
      </c>
      <c r="J9" s="115">
        <v>0</v>
      </c>
    </row>
    <row r="10" spans="1:10" s="116" customFormat="1" ht="12">
      <c r="A10" s="114">
        <v>2016</v>
      </c>
      <c r="B10" s="115">
        <f t="shared" si="0"/>
        <v>0</v>
      </c>
      <c r="C10" s="115">
        <v>0</v>
      </c>
      <c r="D10" s="115">
        <v>0</v>
      </c>
      <c r="E10" s="115">
        <f t="shared" si="1"/>
        <v>0</v>
      </c>
      <c r="F10" s="115">
        <v>0</v>
      </c>
      <c r="G10" s="115">
        <v>0</v>
      </c>
      <c r="H10" s="115">
        <f t="shared" si="2"/>
        <v>0</v>
      </c>
      <c r="I10" s="115">
        <v>0</v>
      </c>
      <c r="J10" s="115">
        <v>0</v>
      </c>
    </row>
    <row r="11" spans="1:10" s="116" customFormat="1" ht="12">
      <c r="A11" s="114">
        <v>2017</v>
      </c>
      <c r="B11" s="115">
        <f t="shared" si="0"/>
        <v>0</v>
      </c>
      <c r="C11" s="115">
        <v>0</v>
      </c>
      <c r="D11" s="115">
        <v>0</v>
      </c>
      <c r="E11" s="115">
        <f t="shared" si="1"/>
        <v>0</v>
      </c>
      <c r="F11" s="115">
        <v>0</v>
      </c>
      <c r="G11" s="115">
        <v>0</v>
      </c>
      <c r="H11" s="115">
        <f t="shared" si="2"/>
        <v>0</v>
      </c>
      <c r="I11" s="115">
        <v>0</v>
      </c>
      <c r="J11" s="115">
        <v>0</v>
      </c>
    </row>
    <row r="12" spans="1:10" s="116" customFormat="1" ht="12">
      <c r="A12" s="114">
        <v>2018</v>
      </c>
      <c r="B12" s="115">
        <f t="shared" si="0"/>
        <v>0</v>
      </c>
      <c r="C12" s="115">
        <v>0</v>
      </c>
      <c r="D12" s="115">
        <v>0</v>
      </c>
      <c r="E12" s="115">
        <f t="shared" si="1"/>
        <v>0</v>
      </c>
      <c r="F12" s="115">
        <v>0</v>
      </c>
      <c r="G12" s="115">
        <v>0</v>
      </c>
      <c r="H12" s="115">
        <f t="shared" si="2"/>
        <v>0</v>
      </c>
      <c r="I12" s="115">
        <v>0</v>
      </c>
      <c r="J12" s="115">
        <v>0</v>
      </c>
    </row>
    <row r="13" spans="1:10" s="116" customFormat="1" ht="12">
      <c r="A13" s="114">
        <v>2019</v>
      </c>
      <c r="B13" s="115">
        <f t="shared" si="0"/>
        <v>0</v>
      </c>
      <c r="C13" s="115">
        <v>0</v>
      </c>
      <c r="D13" s="115">
        <v>0</v>
      </c>
      <c r="E13" s="115">
        <f t="shared" si="1"/>
        <v>0</v>
      </c>
      <c r="F13" s="115">
        <v>0</v>
      </c>
      <c r="G13" s="115">
        <v>0</v>
      </c>
      <c r="H13" s="115">
        <f t="shared" si="2"/>
        <v>0</v>
      </c>
      <c r="I13" s="115">
        <v>0</v>
      </c>
      <c r="J13" s="115">
        <v>0</v>
      </c>
    </row>
    <row r="14" spans="1:10" s="116" customFormat="1" ht="12">
      <c r="A14" s="114">
        <v>2020</v>
      </c>
      <c r="B14" s="115">
        <f t="shared" si="0"/>
        <v>0</v>
      </c>
      <c r="C14" s="115">
        <v>0</v>
      </c>
      <c r="D14" s="115">
        <v>0</v>
      </c>
      <c r="E14" s="115">
        <f t="shared" si="1"/>
        <v>0</v>
      </c>
      <c r="F14" s="115">
        <v>0</v>
      </c>
      <c r="G14" s="115">
        <v>0</v>
      </c>
      <c r="H14" s="115">
        <f t="shared" si="2"/>
        <v>0</v>
      </c>
      <c r="I14" s="115">
        <v>0</v>
      </c>
      <c r="J14" s="115">
        <v>0</v>
      </c>
    </row>
    <row r="15" spans="1:10" s="116" customFormat="1" ht="12">
      <c r="A15" s="114">
        <v>2021</v>
      </c>
      <c r="B15" s="115">
        <f t="shared" si="0"/>
        <v>0</v>
      </c>
      <c r="C15" s="115">
        <v>0</v>
      </c>
      <c r="D15" s="115">
        <v>0</v>
      </c>
      <c r="E15" s="115">
        <f t="shared" si="1"/>
        <v>0</v>
      </c>
      <c r="F15" s="115">
        <v>0</v>
      </c>
      <c r="G15" s="115">
        <v>0</v>
      </c>
      <c r="H15" s="115">
        <f t="shared" si="2"/>
        <v>0</v>
      </c>
      <c r="I15" s="115">
        <v>0</v>
      </c>
      <c r="J15" s="115">
        <v>0</v>
      </c>
    </row>
    <row r="16" spans="1:10" s="116" customFormat="1" ht="12">
      <c r="A16" s="114">
        <v>2022</v>
      </c>
      <c r="B16" s="115">
        <f t="shared" si="0"/>
        <v>0</v>
      </c>
      <c r="C16" s="115">
        <v>0</v>
      </c>
      <c r="D16" s="115">
        <v>0</v>
      </c>
      <c r="E16" s="115">
        <f t="shared" si="1"/>
        <v>0</v>
      </c>
      <c r="F16" s="115">
        <v>0</v>
      </c>
      <c r="G16" s="115">
        <v>0</v>
      </c>
      <c r="H16" s="115">
        <f t="shared" si="2"/>
        <v>0</v>
      </c>
      <c r="I16" s="115">
        <v>0</v>
      </c>
      <c r="J16" s="115">
        <v>0</v>
      </c>
    </row>
    <row r="17" spans="1:10" s="116" customFormat="1" ht="12">
      <c r="A17" s="114">
        <v>2023</v>
      </c>
      <c r="B17" s="115">
        <f t="shared" si="0"/>
        <v>0</v>
      </c>
      <c r="C17" s="115">
        <v>0</v>
      </c>
      <c r="D17" s="115">
        <v>0</v>
      </c>
      <c r="E17" s="115">
        <f t="shared" si="1"/>
        <v>0</v>
      </c>
      <c r="F17" s="115">
        <v>0</v>
      </c>
      <c r="G17" s="115">
        <v>0</v>
      </c>
      <c r="H17" s="115">
        <f t="shared" si="2"/>
        <v>0</v>
      </c>
      <c r="I17" s="115">
        <v>0</v>
      </c>
      <c r="J17" s="115">
        <v>0</v>
      </c>
    </row>
    <row r="18" spans="1:10" s="116" customFormat="1" ht="12">
      <c r="A18" s="114">
        <v>2024</v>
      </c>
      <c r="B18" s="115">
        <f t="shared" si="0"/>
        <v>0</v>
      </c>
      <c r="C18" s="115">
        <v>0</v>
      </c>
      <c r="D18" s="115">
        <v>0</v>
      </c>
      <c r="E18" s="115">
        <f t="shared" si="1"/>
        <v>0</v>
      </c>
      <c r="F18" s="115">
        <v>0</v>
      </c>
      <c r="G18" s="115">
        <v>0</v>
      </c>
      <c r="H18" s="115">
        <f t="shared" si="2"/>
        <v>0</v>
      </c>
      <c r="I18" s="115">
        <v>0</v>
      </c>
      <c r="J18" s="115">
        <v>0</v>
      </c>
    </row>
    <row r="19" spans="1:10" s="116" customFormat="1" ht="12">
      <c r="A19" s="114">
        <v>2025</v>
      </c>
      <c r="B19" s="115">
        <f t="shared" si="0"/>
        <v>0</v>
      </c>
      <c r="C19" s="115">
        <v>0</v>
      </c>
      <c r="D19" s="115">
        <v>0</v>
      </c>
      <c r="E19" s="115">
        <f t="shared" si="1"/>
        <v>0</v>
      </c>
      <c r="F19" s="115">
        <v>0</v>
      </c>
      <c r="G19" s="115">
        <v>0</v>
      </c>
      <c r="H19" s="115">
        <f t="shared" si="2"/>
        <v>0</v>
      </c>
      <c r="I19" s="115">
        <v>0</v>
      </c>
      <c r="J19" s="115">
        <v>0</v>
      </c>
    </row>
    <row r="20" spans="1:10" s="116" customFormat="1" ht="12">
      <c r="A20" s="114">
        <v>2026</v>
      </c>
      <c r="B20" s="115">
        <f t="shared" si="0"/>
        <v>0</v>
      </c>
      <c r="C20" s="115">
        <v>0</v>
      </c>
      <c r="D20" s="115">
        <v>0</v>
      </c>
      <c r="E20" s="115">
        <f t="shared" si="1"/>
        <v>0</v>
      </c>
      <c r="F20" s="115">
        <v>0</v>
      </c>
      <c r="G20" s="115">
        <v>0</v>
      </c>
      <c r="H20" s="115">
        <f t="shared" si="2"/>
        <v>0</v>
      </c>
      <c r="I20" s="115">
        <v>0</v>
      </c>
      <c r="J20" s="115">
        <v>0</v>
      </c>
    </row>
    <row r="21" spans="1:10" s="116" customFormat="1" ht="12">
      <c r="A21" s="114">
        <v>2027</v>
      </c>
      <c r="B21" s="115">
        <f t="shared" si="0"/>
        <v>0</v>
      </c>
      <c r="C21" s="115">
        <v>0</v>
      </c>
      <c r="D21" s="115">
        <v>0</v>
      </c>
      <c r="E21" s="115">
        <f t="shared" si="1"/>
        <v>0</v>
      </c>
      <c r="F21" s="115">
        <v>0</v>
      </c>
      <c r="G21" s="115">
        <v>0</v>
      </c>
      <c r="H21" s="115">
        <f t="shared" si="2"/>
        <v>0</v>
      </c>
      <c r="I21" s="115">
        <v>0</v>
      </c>
      <c r="J21" s="115">
        <v>0</v>
      </c>
    </row>
    <row r="22" spans="1:10" s="116" customFormat="1" ht="12">
      <c r="A22" s="114">
        <v>2028</v>
      </c>
      <c r="B22" s="115">
        <f t="shared" si="0"/>
        <v>0</v>
      </c>
      <c r="C22" s="115">
        <v>0</v>
      </c>
      <c r="D22" s="115">
        <v>0</v>
      </c>
      <c r="E22" s="115">
        <f t="shared" si="1"/>
        <v>0</v>
      </c>
      <c r="F22" s="115">
        <v>0</v>
      </c>
      <c r="G22" s="115">
        <v>0</v>
      </c>
      <c r="H22" s="115">
        <f t="shared" si="2"/>
        <v>0</v>
      </c>
      <c r="I22" s="115">
        <v>0</v>
      </c>
      <c r="J22" s="115">
        <v>0</v>
      </c>
    </row>
    <row r="23" spans="1:10" s="116" customFormat="1" ht="12">
      <c r="A23" s="114">
        <v>2029</v>
      </c>
      <c r="B23" s="115">
        <f t="shared" si="0"/>
        <v>0</v>
      </c>
      <c r="C23" s="115">
        <v>0</v>
      </c>
      <c r="D23" s="115">
        <v>0</v>
      </c>
      <c r="E23" s="115">
        <f t="shared" si="1"/>
        <v>0</v>
      </c>
      <c r="F23" s="115">
        <v>0</v>
      </c>
      <c r="G23" s="115">
        <v>0</v>
      </c>
      <c r="H23" s="115">
        <f t="shared" si="2"/>
        <v>0</v>
      </c>
      <c r="I23" s="115">
        <v>0</v>
      </c>
      <c r="J23" s="115">
        <v>0</v>
      </c>
    </row>
    <row r="24" spans="1:10" s="116" customFormat="1" ht="12">
      <c r="A24" s="114">
        <v>2030</v>
      </c>
      <c r="B24" s="115">
        <f t="shared" si="0"/>
        <v>0</v>
      </c>
      <c r="C24" s="115">
        <v>0</v>
      </c>
      <c r="D24" s="115">
        <v>0</v>
      </c>
      <c r="E24" s="115">
        <f t="shared" si="1"/>
        <v>0</v>
      </c>
      <c r="F24" s="115">
        <v>0</v>
      </c>
      <c r="G24" s="115">
        <v>0</v>
      </c>
      <c r="H24" s="115">
        <f t="shared" si="2"/>
        <v>0</v>
      </c>
      <c r="I24" s="115">
        <v>0</v>
      </c>
      <c r="J24" s="115">
        <v>0</v>
      </c>
    </row>
    <row r="25" spans="1:10" s="116" customFormat="1" ht="12">
      <c r="A25" s="114">
        <v>2031</v>
      </c>
      <c r="B25" s="115">
        <f t="shared" si="0"/>
        <v>0</v>
      </c>
      <c r="C25" s="115">
        <v>0</v>
      </c>
      <c r="D25" s="115">
        <v>0</v>
      </c>
      <c r="E25" s="115">
        <f t="shared" si="1"/>
        <v>0</v>
      </c>
      <c r="F25" s="115">
        <v>0</v>
      </c>
      <c r="G25" s="115">
        <v>0</v>
      </c>
      <c r="H25" s="115">
        <f t="shared" si="2"/>
        <v>0</v>
      </c>
      <c r="I25" s="115">
        <v>0</v>
      </c>
      <c r="J25" s="115">
        <v>0</v>
      </c>
    </row>
    <row r="26" spans="1:10" s="116" customFormat="1" ht="12">
      <c r="A26" s="114">
        <v>2032</v>
      </c>
      <c r="B26" s="115">
        <f t="shared" si="0"/>
        <v>0</v>
      </c>
      <c r="C26" s="115">
        <v>0</v>
      </c>
      <c r="D26" s="115">
        <v>0</v>
      </c>
      <c r="E26" s="115">
        <f t="shared" si="1"/>
        <v>0</v>
      </c>
      <c r="F26" s="115">
        <v>0</v>
      </c>
      <c r="G26" s="115">
        <v>0</v>
      </c>
      <c r="H26" s="115">
        <f t="shared" si="2"/>
        <v>0</v>
      </c>
      <c r="I26" s="115">
        <v>0</v>
      </c>
      <c r="J26" s="115">
        <v>0</v>
      </c>
    </row>
    <row r="27" spans="1:10" s="116" customFormat="1" ht="12">
      <c r="A27" s="114">
        <v>2033</v>
      </c>
      <c r="B27" s="115">
        <f t="shared" si="0"/>
        <v>0</v>
      </c>
      <c r="C27" s="115">
        <v>0</v>
      </c>
      <c r="D27" s="115">
        <v>0</v>
      </c>
      <c r="E27" s="115">
        <f t="shared" si="1"/>
        <v>0</v>
      </c>
      <c r="F27" s="115">
        <v>0</v>
      </c>
      <c r="G27" s="115">
        <v>0</v>
      </c>
      <c r="H27" s="115">
        <f t="shared" si="2"/>
        <v>0</v>
      </c>
      <c r="I27" s="115">
        <v>0</v>
      </c>
      <c r="J27" s="115">
        <v>0</v>
      </c>
    </row>
    <row r="28" spans="1:10" s="116" customFormat="1" ht="12">
      <c r="A28" s="114">
        <v>2034</v>
      </c>
      <c r="B28" s="115">
        <f>SUM(C28:D28)</f>
        <v>0</v>
      </c>
      <c r="C28" s="115">
        <v>0</v>
      </c>
      <c r="D28" s="115">
        <v>0</v>
      </c>
      <c r="E28" s="115">
        <f>SUM(F28:G28)</f>
        <v>0</v>
      </c>
      <c r="F28" s="115">
        <v>0</v>
      </c>
      <c r="G28" s="115">
        <v>0</v>
      </c>
      <c r="H28" s="115">
        <f>SUM(I28:J28)</f>
        <v>0</v>
      </c>
      <c r="I28" s="115">
        <v>0</v>
      </c>
      <c r="J28" s="115">
        <v>0</v>
      </c>
    </row>
    <row r="29" spans="1:10" s="116" customFormat="1" ht="12">
      <c r="A29" s="114">
        <v>2035</v>
      </c>
      <c r="B29" s="115">
        <f>SUM(C29:D29)</f>
        <v>0</v>
      </c>
      <c r="C29" s="115">
        <v>0</v>
      </c>
      <c r="D29" s="115">
        <v>0</v>
      </c>
      <c r="E29" s="115">
        <f>SUM(F29:G29)</f>
        <v>0</v>
      </c>
      <c r="F29" s="115">
        <v>0</v>
      </c>
      <c r="G29" s="115">
        <v>0</v>
      </c>
      <c r="H29" s="115">
        <f>SUM(I29:J29)</f>
        <v>0</v>
      </c>
      <c r="I29" s="115">
        <v>0</v>
      </c>
      <c r="J29" s="115">
        <v>0</v>
      </c>
    </row>
    <row r="30" spans="1:10" s="116" customFormat="1" ht="12">
      <c r="A30" s="114">
        <v>2036</v>
      </c>
      <c r="B30" s="115">
        <f t="shared" ref="B30:B36" si="3">SUM(C30:D30)</f>
        <v>0</v>
      </c>
      <c r="C30" s="115">
        <v>0</v>
      </c>
      <c r="D30" s="115">
        <v>0</v>
      </c>
      <c r="E30" s="115">
        <f t="shared" ref="E30:E36" si="4">SUM(F30:G30)</f>
        <v>0</v>
      </c>
      <c r="F30" s="115">
        <v>0</v>
      </c>
      <c r="G30" s="115">
        <v>0</v>
      </c>
      <c r="H30" s="115">
        <f t="shared" ref="H30:H36" si="5">SUM(I30:J30)</f>
        <v>0</v>
      </c>
      <c r="I30" s="115">
        <v>0</v>
      </c>
      <c r="J30" s="115">
        <v>0</v>
      </c>
    </row>
    <row r="31" spans="1:10" s="116" customFormat="1" ht="12">
      <c r="A31" s="114">
        <v>2037</v>
      </c>
      <c r="B31" s="115">
        <f t="shared" si="3"/>
        <v>0</v>
      </c>
      <c r="C31" s="115">
        <v>0</v>
      </c>
      <c r="D31" s="115">
        <v>0</v>
      </c>
      <c r="E31" s="115">
        <f t="shared" si="4"/>
        <v>0</v>
      </c>
      <c r="F31" s="115">
        <v>0</v>
      </c>
      <c r="G31" s="115">
        <v>0</v>
      </c>
      <c r="H31" s="115">
        <f t="shared" si="5"/>
        <v>0</v>
      </c>
      <c r="I31" s="115">
        <v>0</v>
      </c>
      <c r="J31" s="115">
        <v>0</v>
      </c>
    </row>
    <row r="32" spans="1:10" s="116" customFormat="1" ht="12">
      <c r="A32" s="114">
        <v>2038</v>
      </c>
      <c r="B32" s="115">
        <f t="shared" si="3"/>
        <v>0</v>
      </c>
      <c r="C32" s="115">
        <v>0</v>
      </c>
      <c r="D32" s="115">
        <v>0</v>
      </c>
      <c r="E32" s="115">
        <f t="shared" si="4"/>
        <v>0</v>
      </c>
      <c r="F32" s="115">
        <v>0</v>
      </c>
      <c r="G32" s="115">
        <v>0</v>
      </c>
      <c r="H32" s="115">
        <f t="shared" si="5"/>
        <v>0</v>
      </c>
      <c r="I32" s="115">
        <v>0</v>
      </c>
      <c r="J32" s="115">
        <v>0</v>
      </c>
    </row>
    <row r="33" spans="1:10" s="116" customFormat="1" ht="12">
      <c r="A33" s="114">
        <v>2039</v>
      </c>
      <c r="B33" s="115">
        <f t="shared" si="3"/>
        <v>0</v>
      </c>
      <c r="C33" s="115">
        <v>0</v>
      </c>
      <c r="D33" s="115">
        <v>0</v>
      </c>
      <c r="E33" s="115">
        <f t="shared" si="4"/>
        <v>0</v>
      </c>
      <c r="F33" s="115">
        <v>0</v>
      </c>
      <c r="G33" s="115">
        <v>0</v>
      </c>
      <c r="H33" s="115">
        <f t="shared" si="5"/>
        <v>0</v>
      </c>
      <c r="I33" s="115">
        <v>0</v>
      </c>
      <c r="J33" s="115">
        <v>0</v>
      </c>
    </row>
    <row r="34" spans="1:10" s="116" customFormat="1" ht="12">
      <c r="A34" s="114">
        <v>2040</v>
      </c>
      <c r="B34" s="115">
        <f t="shared" si="3"/>
        <v>0</v>
      </c>
      <c r="C34" s="115">
        <v>0</v>
      </c>
      <c r="D34" s="115">
        <v>0</v>
      </c>
      <c r="E34" s="115">
        <f t="shared" si="4"/>
        <v>0</v>
      </c>
      <c r="F34" s="115">
        <v>0</v>
      </c>
      <c r="G34" s="115">
        <v>0</v>
      </c>
      <c r="H34" s="115">
        <f t="shared" si="5"/>
        <v>0</v>
      </c>
      <c r="I34" s="115">
        <v>0</v>
      </c>
      <c r="J34" s="115">
        <v>0</v>
      </c>
    </row>
    <row r="35" spans="1:10" s="116" customFormat="1" ht="12">
      <c r="A35" s="114">
        <v>2041</v>
      </c>
      <c r="B35" s="115">
        <f t="shared" si="3"/>
        <v>0</v>
      </c>
      <c r="C35" s="115">
        <v>0</v>
      </c>
      <c r="D35" s="115">
        <v>0</v>
      </c>
      <c r="E35" s="115">
        <f t="shared" si="4"/>
        <v>0</v>
      </c>
      <c r="F35" s="115">
        <v>0</v>
      </c>
      <c r="G35" s="115">
        <v>0</v>
      </c>
      <c r="H35" s="115">
        <f t="shared" si="5"/>
        <v>0</v>
      </c>
      <c r="I35" s="115">
        <v>0</v>
      </c>
      <c r="J35" s="115">
        <v>0</v>
      </c>
    </row>
    <row r="36" spans="1:10" s="116" customFormat="1" ht="12">
      <c r="A36" s="114">
        <v>2042</v>
      </c>
      <c r="B36" s="115">
        <f t="shared" si="3"/>
        <v>0</v>
      </c>
      <c r="C36" s="115">
        <v>0</v>
      </c>
      <c r="D36" s="115">
        <v>0</v>
      </c>
      <c r="E36" s="115">
        <f t="shared" si="4"/>
        <v>0</v>
      </c>
      <c r="F36" s="115">
        <v>0</v>
      </c>
      <c r="G36" s="115">
        <v>0</v>
      </c>
      <c r="H36" s="115">
        <f t="shared" si="5"/>
        <v>0</v>
      </c>
      <c r="I36" s="115">
        <v>0</v>
      </c>
      <c r="J36" s="115">
        <v>0</v>
      </c>
    </row>
    <row r="37" spans="1:10" s="116" customFormat="1" ht="12">
      <c r="A37" s="114">
        <v>2043</v>
      </c>
      <c r="B37" s="115">
        <f>SUM(C37:D37)</f>
        <v>0</v>
      </c>
      <c r="C37" s="115">
        <v>0</v>
      </c>
      <c r="D37" s="115">
        <v>0</v>
      </c>
      <c r="E37" s="115">
        <f>SUM(F37:G37)</f>
        <v>0</v>
      </c>
      <c r="F37" s="115">
        <v>0</v>
      </c>
      <c r="G37" s="115">
        <v>0</v>
      </c>
      <c r="H37" s="115">
        <f>SUM(I37:J37)</f>
        <v>0</v>
      </c>
      <c r="I37" s="115">
        <v>0</v>
      </c>
      <c r="J37" s="115">
        <v>0</v>
      </c>
    </row>
    <row r="38" spans="1:10" s="116" customFormat="1" ht="12">
      <c r="A38" s="114">
        <v>2044</v>
      </c>
      <c r="B38" s="115">
        <f>SUM(C38:D38)</f>
        <v>0</v>
      </c>
      <c r="C38" s="115">
        <v>0</v>
      </c>
      <c r="D38" s="115">
        <v>0</v>
      </c>
      <c r="E38" s="115">
        <f>SUM(F38:G38)</f>
        <v>0</v>
      </c>
      <c r="F38" s="115">
        <v>0</v>
      </c>
      <c r="G38" s="115">
        <v>0</v>
      </c>
      <c r="H38" s="115">
        <f>SUM(I38:J38)</f>
        <v>0</v>
      </c>
      <c r="I38" s="115">
        <v>0</v>
      </c>
      <c r="J38" s="115">
        <v>0</v>
      </c>
    </row>
    <row r="39" spans="1:10" s="116" customFormat="1" ht="12">
      <c r="A39" s="114">
        <v>2045</v>
      </c>
      <c r="B39" s="115">
        <f>SUM(C39:D39)</f>
        <v>0</v>
      </c>
      <c r="C39" s="115">
        <v>0</v>
      </c>
      <c r="D39" s="115">
        <v>0</v>
      </c>
      <c r="E39" s="115">
        <f>SUM(F39:G39)</f>
        <v>0</v>
      </c>
      <c r="F39" s="115">
        <v>0</v>
      </c>
      <c r="G39" s="115">
        <v>0</v>
      </c>
      <c r="H39" s="115">
        <f>SUM(I39:J39)</f>
        <v>0</v>
      </c>
      <c r="I39" s="115">
        <v>0</v>
      </c>
      <c r="J39" s="115">
        <v>0</v>
      </c>
    </row>
    <row r="40" spans="1:10" s="99" customFormat="1">
      <c r="I40" s="170"/>
    </row>
    <row r="41" spans="1:10" s="99" customFormat="1">
      <c r="I41" s="170"/>
    </row>
    <row r="42" spans="1:10">
      <c r="I42" s="170"/>
    </row>
  </sheetData>
  <mergeCells count="6">
    <mergeCell ref="A1:J1"/>
    <mergeCell ref="A2:J2"/>
    <mergeCell ref="A3:A4"/>
    <mergeCell ref="B3:D3"/>
    <mergeCell ref="E3:G3"/>
    <mergeCell ref="H3:J3"/>
  </mergeCells>
  <pageMargins left="0.56999999999999995" right="0.61" top="0.44" bottom="0.28000000000000003" header="0.31496062992125984" footer="0.2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definicja</vt:lpstr>
      <vt:lpstr>Zał.1 WPF</vt:lpstr>
      <vt:lpstr>Zał.2 Przeds.</vt:lpstr>
      <vt:lpstr>Zał.3Przeds.zb.</vt:lpstr>
      <vt:lpstr>Zał.4Zb.przeds</vt:lpstr>
      <vt:lpstr>Zał.4Zb.progr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Wioletta</cp:lastModifiedBy>
  <cp:lastPrinted>2013-01-02T12:54:12Z</cp:lastPrinted>
  <dcterms:created xsi:type="dcterms:W3CDTF">2010-09-17T02:30:46Z</dcterms:created>
  <dcterms:modified xsi:type="dcterms:W3CDTF">2013-01-02T13:04:13Z</dcterms:modified>
</cp:coreProperties>
</file>